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mc:AlternateContent xmlns:mc="http://schemas.openxmlformats.org/markup-compatibility/2006">
    <mc:Choice Requires="x15">
      <x15ac:absPath xmlns:x15ac="http://schemas.microsoft.com/office/spreadsheetml/2010/11/ac" url="D:\OneDrive\Documents\Alimentatie-Scheiding-Website\Alimentatie\2019-2e halfjaar\"/>
    </mc:Choice>
  </mc:AlternateContent>
  <xr:revisionPtr revIDLastSave="0" documentId="13_ncr:1_{FB5B6162-B735-4D81-A32C-E736AFA36AB3}" xr6:coauthVersionLast="45" xr6:coauthVersionMax="45" xr10:uidLastSave="{00000000-0000-0000-0000-000000000000}"/>
  <bookViews>
    <workbookView xWindow="-108" yWindow="-108" windowWidth="23256" windowHeight="12576" tabRatio="865" xr2:uid="{00000000-000D-0000-FFFF-FFFF00000000}"/>
  </bookViews>
  <sheets>
    <sheet name="Samenvatting" sheetId="13" r:id="rId1"/>
    <sheet name="Handleiding" sheetId="18" r:id="rId2"/>
    <sheet name="Basisgegevens" sheetId="7" r:id="rId3"/>
    <sheet name="Alimentatie 2019-2 (Juli)" sheetId="6" r:id="rId4"/>
    <sheet name="Jusvergelijking" sheetId="16" r:id="rId5"/>
    <sheet name="Behoefteberekening" sheetId="17" r:id="rId6"/>
    <sheet name="Kinderalimentatie" sheetId="8" r:id="rId7"/>
    <sheet name="Wijzigingen &amp; To Do's" sheetId="14" r:id="rId8"/>
    <sheet name="Keuzelijsten" sheetId="9" r:id="rId9"/>
  </sheets>
  <definedNames>
    <definedName name="_xlnm._FilterDatabase" localSheetId="3" hidden="1">'Alimentatie 2019-2 (Juli)'!$B$3:$I$281</definedName>
    <definedName name="_xlnm.Print_Area" localSheetId="4">Jusvergelijking!$A$1:$H$65</definedName>
    <definedName name="_xlnm.Print_Area" localSheetId="0">Samenvatting!$A$1:$H$53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 i="18" l="1"/>
  <c r="G4" i="17"/>
  <c r="G4" i="16"/>
  <c r="G4" i="13"/>
  <c r="C16" i="7"/>
  <c r="B18" i="17"/>
  <c r="A18" i="17"/>
  <c r="H212" i="7"/>
  <c r="H211" i="7"/>
  <c r="H210" i="7"/>
  <c r="H209" i="7"/>
  <c r="H208" i="7"/>
  <c r="H207" i="7"/>
  <c r="H206" i="7"/>
  <c r="H205" i="7"/>
  <c r="H204" i="7"/>
  <c r="H203" i="7"/>
  <c r="H202" i="7"/>
  <c r="H201" i="7"/>
  <c r="G41" i="6" l="1"/>
  <c r="E41" i="6"/>
  <c r="F81" i="7"/>
  <c r="D81" i="7"/>
  <c r="E80" i="7"/>
  <c r="C80" i="7"/>
  <c r="E38" i="6" l="1"/>
  <c r="F9" i="16" s="1"/>
  <c r="E47" i="6"/>
  <c r="G38" i="6"/>
  <c r="H9" i="16" s="1"/>
  <c r="G229" i="6"/>
  <c r="E229" i="6"/>
  <c r="D154" i="7"/>
  <c r="C154" i="7"/>
  <c r="E130" i="7"/>
  <c r="G184" i="6" s="1"/>
  <c r="E129" i="7"/>
  <c r="G185" i="6" s="1"/>
  <c r="E128" i="7"/>
  <c r="E131" i="7"/>
  <c r="E133" i="7"/>
  <c r="G186" i="6" s="1"/>
  <c r="G47" i="6" l="1"/>
  <c r="B125" i="7"/>
  <c r="F113" i="7"/>
  <c r="F125" i="7"/>
  <c r="E134" i="7"/>
  <c r="B113" i="7"/>
  <c r="G125" i="7"/>
  <c r="E125" i="7"/>
  <c r="D133" i="7"/>
  <c r="D132" i="7"/>
  <c r="D130" i="7"/>
  <c r="F129" i="7"/>
  <c r="C136" i="7"/>
  <c r="E136" i="7"/>
  <c r="E132" i="7" l="1"/>
  <c r="G78" i="6" s="1"/>
  <c r="G79" i="6"/>
  <c r="F63" i="17"/>
  <c r="U155" i="7" l="1"/>
  <c r="T155" i="7"/>
  <c r="U109" i="7"/>
  <c r="T109" i="7"/>
  <c r="U101" i="7"/>
  <c r="T101" i="7"/>
  <c r="F51" i="7"/>
  <c r="D51" i="7"/>
  <c r="B52" i="7"/>
  <c r="M175" i="7" l="1"/>
  <c r="M176" i="7"/>
  <c r="M177" i="7"/>
  <c r="M178" i="7"/>
  <c r="M179" i="7"/>
  <c r="D128" i="7" l="1"/>
  <c r="D116" i="7"/>
  <c r="C165" i="7" s="1"/>
  <c r="F54" i="13"/>
  <c r="E54" i="13" s="1"/>
  <c r="A60" i="16"/>
  <c r="B60" i="16"/>
  <c r="A59" i="16"/>
  <c r="B59" i="16"/>
  <c r="E60" i="16"/>
  <c r="E59" i="16"/>
  <c r="G167" i="6"/>
  <c r="G61" i="16"/>
  <c r="G60" i="16"/>
  <c r="G59" i="16"/>
  <c r="G77" i="6" l="1"/>
  <c r="D165" i="7"/>
  <c r="H233" i="6"/>
  <c r="F233" i="6"/>
  <c r="E62" i="16" l="1"/>
  <c r="G55" i="16"/>
  <c r="U145" i="7"/>
  <c r="T145" i="7"/>
  <c r="U135" i="7"/>
  <c r="T135" i="7"/>
  <c r="X126" i="7" l="1"/>
  <c r="W126" i="7"/>
  <c r="X117" i="7"/>
  <c r="W117" i="7"/>
  <c r="G43" i="16"/>
  <c r="E43" i="16"/>
  <c r="U117" i="7"/>
  <c r="T117" i="7"/>
  <c r="U126" i="7"/>
  <c r="T126" i="7"/>
  <c r="E26" i="16"/>
  <c r="E25" i="16"/>
  <c r="V4" i="7" s="1"/>
  <c r="B327" i="7"/>
  <c r="G26" i="16"/>
  <c r="V2" i="7"/>
  <c r="W2" i="7"/>
  <c r="A61" i="16"/>
  <c r="B61" i="16"/>
  <c r="E61" i="16"/>
  <c r="B25" i="16"/>
  <c r="A58" i="16"/>
  <c r="A57" i="16"/>
  <c r="A56" i="16"/>
  <c r="B56" i="16"/>
  <c r="B58" i="16"/>
  <c r="B57" i="16"/>
  <c r="A54" i="16"/>
  <c r="A53" i="16"/>
  <c r="B53" i="16"/>
  <c r="G54" i="16"/>
  <c r="E54" i="16"/>
  <c r="G53" i="16"/>
  <c r="E53" i="16"/>
  <c r="B54" i="16"/>
  <c r="A49" i="16"/>
  <c r="B49" i="16"/>
  <c r="A48" i="16"/>
  <c r="A45" i="16"/>
  <c r="A44" i="16"/>
  <c r="A34" i="16"/>
  <c r="A33" i="16"/>
  <c r="B45" i="16"/>
  <c r="F47" i="17" l="1"/>
  <c r="E47" i="17" s="1"/>
  <c r="V126" i="7"/>
  <c r="V117" i="7"/>
  <c r="P47" i="7"/>
  <c r="X2" i="7"/>
  <c r="A51" i="17"/>
  <c r="B51" i="17"/>
  <c r="F50" i="17"/>
  <c r="E50" i="17" s="1"/>
  <c r="A35" i="17"/>
  <c r="B36" i="17"/>
  <c r="A9" i="17"/>
  <c r="A8" i="17"/>
  <c r="A24" i="17"/>
  <c r="C19" i="7" l="1"/>
  <c r="B359" i="7" l="1"/>
  <c r="B357" i="7"/>
  <c r="B354" i="7"/>
  <c r="B352" i="7"/>
  <c r="B351" i="7"/>
  <c r="B349" i="7"/>
  <c r="B342" i="7"/>
  <c r="B341" i="7"/>
  <c r="B336" i="7"/>
  <c r="B335" i="7"/>
  <c r="B58" i="17"/>
  <c r="F49" i="17"/>
  <c r="E49" i="17" s="1"/>
  <c r="B49" i="17"/>
  <c r="B50" i="17"/>
  <c r="F48" i="17"/>
  <c r="E48" i="17" s="1"/>
  <c r="H161" i="6"/>
  <c r="F161" i="6"/>
  <c r="B48" i="17"/>
  <c r="A47" i="17"/>
  <c r="F41" i="17"/>
  <c r="A44" i="17"/>
  <c r="A43" i="17"/>
  <c r="A42" i="17"/>
  <c r="B44" i="17"/>
  <c r="B41" i="17"/>
  <c r="B40" i="17"/>
  <c r="B39" i="17"/>
  <c r="B38" i="17"/>
  <c r="B37" i="17"/>
  <c r="A32" i="17"/>
  <c r="A31" i="17"/>
  <c r="A30" i="17"/>
  <c r="B30" i="17"/>
  <c r="B25" i="17"/>
  <c r="A25" i="17"/>
  <c r="B24" i="17"/>
  <c r="B22" i="17"/>
  <c r="A19" i="17"/>
  <c r="B19" i="17"/>
  <c r="A20" i="17"/>
  <c r="B20" i="17"/>
  <c r="A21" i="17"/>
  <c r="B21" i="17"/>
  <c r="A22" i="17"/>
  <c r="C166" i="7"/>
  <c r="D166" i="7"/>
  <c r="E41" i="17" l="1"/>
  <c r="B14" i="17"/>
  <c r="B12" i="17"/>
  <c r="D9" i="17"/>
  <c r="C9" i="17"/>
  <c r="D8" i="17"/>
  <c r="C8" i="17"/>
  <c r="D4" i="17"/>
  <c r="B13" i="8"/>
  <c r="E13" i="8"/>
  <c r="H11" i="16" l="1"/>
  <c r="F11" i="16"/>
  <c r="B24" i="16"/>
  <c r="G23" i="16"/>
  <c r="E23" i="16"/>
  <c r="B23" i="16"/>
  <c r="G25" i="16"/>
  <c r="W4" i="7" s="1"/>
  <c r="B22" i="16"/>
  <c r="B21" i="16"/>
  <c r="B20" i="16"/>
  <c r="B19" i="16"/>
  <c r="B18" i="16"/>
  <c r="B17" i="16"/>
  <c r="D4" i="16"/>
  <c r="B322" i="7" l="1"/>
  <c r="D11" i="7"/>
  <c r="D12" i="7" s="1"/>
  <c r="C11" i="7"/>
  <c r="C12" i="7" s="1"/>
  <c r="C6" i="7"/>
  <c r="K187" i="6"/>
  <c r="G183" i="6"/>
  <c r="T2" i="7" l="1"/>
  <c r="U2" i="7"/>
  <c r="E98" i="7"/>
  <c r="D98" i="7"/>
  <c r="E58" i="7"/>
  <c r="E41" i="7"/>
  <c r="F41" i="7" s="1"/>
  <c r="G11" i="6" s="1"/>
  <c r="C41" i="7"/>
  <c r="D41" i="7" s="1"/>
  <c r="E11" i="6" s="1"/>
  <c r="E38" i="7"/>
  <c r="C38" i="7"/>
  <c r="E93" i="7"/>
  <c r="D93" i="7"/>
  <c r="E104" i="7"/>
  <c r="D104" i="7"/>
  <c r="M150" i="7" l="1"/>
  <c r="M149" i="7"/>
  <c r="M148" i="7"/>
  <c r="M147" i="7"/>
  <c r="R145" i="7"/>
  <c r="Q145" i="7"/>
  <c r="X129" i="7"/>
  <c r="W129" i="7"/>
  <c r="M129" i="7"/>
  <c r="M128" i="7"/>
  <c r="R126" i="7"/>
  <c r="Q126" i="7"/>
  <c r="G61" i="6"/>
  <c r="G60" i="6"/>
  <c r="H229" i="6" l="1"/>
  <c r="F229" i="6"/>
  <c r="F117" i="7"/>
  <c r="D6" i="7"/>
  <c r="D10" i="7"/>
  <c r="C10" i="7"/>
  <c r="W18" i="7" l="1"/>
  <c r="W17" i="7"/>
  <c r="W16" i="7"/>
  <c r="T105" i="7"/>
  <c r="E40" i="16" s="1"/>
  <c r="Q113" i="7"/>
  <c r="T113" i="7"/>
  <c r="Q105" i="7"/>
  <c r="E186" i="7" l="1"/>
  <c r="B186" i="7" s="1"/>
  <c r="E185" i="7"/>
  <c r="B185" i="7" s="1"/>
  <c r="E184" i="7"/>
  <c r="B184" i="7" s="1"/>
  <c r="E183" i="7"/>
  <c r="B183" i="7" s="1"/>
  <c r="E182" i="7"/>
  <c r="B182" i="7" s="1"/>
  <c r="B181" i="7"/>
  <c r="D180" i="7"/>
  <c r="C180" i="7"/>
  <c r="E141" i="7"/>
  <c r="E176" i="7"/>
  <c r="B170" i="7"/>
  <c r="E171" i="7"/>
  <c r="B171" i="7" s="1"/>
  <c r="E175" i="7"/>
  <c r="B175" i="7" s="1"/>
  <c r="E174" i="7"/>
  <c r="E173" i="7"/>
  <c r="B173" i="7" s="1"/>
  <c r="E172" i="7"/>
  <c r="D169" i="7"/>
  <c r="C169" i="7"/>
  <c r="B172" i="7" l="1"/>
  <c r="B176" i="7"/>
  <c r="B174" i="7"/>
  <c r="I52" i="8"/>
  <c r="H162" i="6"/>
  <c r="F162" i="6"/>
  <c r="H159" i="6"/>
  <c r="F159" i="6"/>
  <c r="C91" i="6" l="1"/>
  <c r="G92" i="6"/>
  <c r="G24" i="16" s="1"/>
  <c r="E92" i="6"/>
  <c r="E24" i="16" s="1"/>
  <c r="E110" i="7"/>
  <c r="D110" i="7"/>
  <c r="E101" i="7"/>
  <c r="G62" i="6" s="1"/>
  <c r="D101" i="7"/>
  <c r="E62" i="6" s="1"/>
  <c r="C621" i="6"/>
  <c r="C615" i="6"/>
  <c r="C613" i="6"/>
  <c r="C610" i="6"/>
  <c r="C606" i="6"/>
  <c r="C250" i="6"/>
  <c r="C611" i="6" s="1"/>
  <c r="C251" i="6"/>
  <c r="C612" i="6" s="1"/>
  <c r="F131" i="6" l="1"/>
  <c r="G132" i="6"/>
  <c r="E132" i="6"/>
  <c r="F132" i="6" s="1"/>
  <c r="G114" i="6"/>
  <c r="E114" i="6"/>
  <c r="E116" i="6" s="1"/>
  <c r="E86" i="6"/>
  <c r="G86" i="6"/>
  <c r="G57" i="6"/>
  <c r="F20" i="17" s="1"/>
  <c r="E57" i="6"/>
  <c r="G52" i="6"/>
  <c r="E52" i="6"/>
  <c r="G116" i="6" l="1"/>
  <c r="G24" i="17" s="1"/>
  <c r="E24" i="17" s="1"/>
  <c r="F24" i="17"/>
  <c r="E20" i="17"/>
  <c r="G211" i="6"/>
  <c r="G22" i="16"/>
  <c r="E211" i="6"/>
  <c r="E22" i="16"/>
  <c r="G133" i="6"/>
  <c r="G135" i="6" s="1"/>
  <c r="H132" i="6"/>
  <c r="E63" i="6"/>
  <c r="G63" i="6"/>
  <c r="G65" i="6" s="1"/>
  <c r="G66" i="6" s="1"/>
  <c r="G18" i="16" s="1"/>
  <c r="F57" i="6"/>
  <c r="E133" i="6"/>
  <c r="E135" i="6" s="1"/>
  <c r="F133" i="6"/>
  <c r="C58" i="7"/>
  <c r="C21" i="6"/>
  <c r="C20" i="6"/>
  <c r="C22" i="6"/>
  <c r="E90" i="7"/>
  <c r="C90" i="7"/>
  <c r="E87" i="7"/>
  <c r="C87" i="7"/>
  <c r="C70" i="7"/>
  <c r="E70" i="7"/>
  <c r="E64" i="7"/>
  <c r="C64" i="7"/>
  <c r="E47" i="7"/>
  <c r="C47" i="7"/>
  <c r="E56" i="7"/>
  <c r="C56" i="7"/>
  <c r="F89" i="7"/>
  <c r="G21" i="6" s="1"/>
  <c r="F88" i="7"/>
  <c r="G20" i="6" s="1"/>
  <c r="D89" i="7"/>
  <c r="D88" i="7"/>
  <c r="E20" i="6" s="1"/>
  <c r="E85" i="7"/>
  <c r="C85" i="7"/>
  <c r="F71" i="7"/>
  <c r="G15" i="6" s="1"/>
  <c r="D71" i="7"/>
  <c r="F30" i="7"/>
  <c r="G12" i="6" s="1"/>
  <c r="D30" i="7"/>
  <c r="E12" i="6" s="1"/>
  <c r="H44" i="13"/>
  <c r="F44" i="13"/>
  <c r="H28" i="13"/>
  <c r="F28" i="13"/>
  <c r="G48" i="13"/>
  <c r="E48" i="13"/>
  <c r="D158" i="7"/>
  <c r="C158" i="7"/>
  <c r="E15" i="6" l="1"/>
  <c r="G20" i="17"/>
  <c r="D90" i="7"/>
  <c r="E22" i="6" s="1"/>
  <c r="E21" i="6"/>
  <c r="F90" i="7"/>
  <c r="G22" i="6" s="1"/>
  <c r="H42" i="13"/>
  <c r="G42" i="13"/>
  <c r="F42" i="13"/>
  <c r="G35" i="13"/>
  <c r="H33" i="13"/>
  <c r="F33" i="13"/>
  <c r="E42" i="13"/>
  <c r="E35" i="13"/>
  <c r="B48" i="13"/>
  <c r="B47" i="13"/>
  <c r="B46" i="13"/>
  <c r="B45" i="13"/>
  <c r="B42" i="13"/>
  <c r="B41" i="13"/>
  <c r="B40" i="13"/>
  <c r="B39" i="13"/>
  <c r="B38" i="13"/>
  <c r="B37" i="13"/>
  <c r="B36" i="13"/>
  <c r="B35" i="13"/>
  <c r="B34" i="13"/>
  <c r="B33" i="13"/>
  <c r="B32" i="13"/>
  <c r="B31" i="13"/>
  <c r="B30" i="13"/>
  <c r="B29" i="13"/>
  <c r="B13" i="13"/>
  <c r="C13" i="13" s="1"/>
  <c r="B24" i="13"/>
  <c r="C24" i="13" s="1"/>
  <c r="B23" i="13"/>
  <c r="D23" i="13" s="1"/>
  <c r="B22" i="13"/>
  <c r="D22" i="13" s="1"/>
  <c r="B21" i="13"/>
  <c r="C21" i="13" s="1"/>
  <c r="B20" i="13"/>
  <c r="C20" i="13" s="1"/>
  <c r="B19" i="13"/>
  <c r="D19" i="13" s="1"/>
  <c r="B18" i="13"/>
  <c r="D18" i="13" s="1"/>
  <c r="B17" i="13"/>
  <c r="C17" i="13" s="1"/>
  <c r="B16" i="13"/>
  <c r="C16" i="13" s="1"/>
  <c r="B15" i="13"/>
  <c r="C15" i="13" s="1"/>
  <c r="B14" i="13"/>
  <c r="C10" i="13"/>
  <c r="B10" i="13"/>
  <c r="C9" i="13"/>
  <c r="B9" i="13"/>
  <c r="D24" i="13" l="1"/>
  <c r="D14" i="13"/>
  <c r="D16" i="13"/>
  <c r="D20" i="13"/>
  <c r="C14" i="13"/>
  <c r="C18" i="13"/>
  <c r="C22" i="13"/>
  <c r="D15" i="13"/>
  <c r="D17" i="13"/>
  <c r="D21" i="13"/>
  <c r="C19" i="13"/>
  <c r="C23" i="13"/>
  <c r="D13" i="13"/>
  <c r="D4" i="13"/>
  <c r="F12" i="8"/>
  <c r="B290" i="7"/>
  <c r="B320" i="7"/>
  <c r="B317" i="7"/>
  <c r="B315" i="7"/>
  <c r="B314" i="7"/>
  <c r="B312" i="7"/>
  <c r="B305" i="7"/>
  <c r="B304" i="7"/>
  <c r="B299" i="7"/>
  <c r="B298" i="7"/>
  <c r="B254" i="7"/>
  <c r="W72" i="7" l="1"/>
  <c r="V72" i="7"/>
  <c r="W71" i="7"/>
  <c r="V71" i="7"/>
  <c r="R72" i="7"/>
  <c r="R71" i="7"/>
  <c r="W59" i="7"/>
  <c r="W70" i="7"/>
  <c r="W62" i="7"/>
  <c r="W65" i="7"/>
  <c r="V61" i="7"/>
  <c r="V64" i="7"/>
  <c r="V69" i="7"/>
  <c r="W67" i="7"/>
  <c r="V66" i="7"/>
  <c r="W68" i="7"/>
  <c r="W60" i="7"/>
  <c r="W63" i="7"/>
  <c r="V70" i="7"/>
  <c r="V62" i="7"/>
  <c r="V63" i="7"/>
  <c r="W66" i="7"/>
  <c r="W69" i="7"/>
  <c r="W61" i="7"/>
  <c r="V68" i="7"/>
  <c r="V60" i="7"/>
  <c r="W64" i="7"/>
  <c r="V67" i="7"/>
  <c r="V65" i="7"/>
  <c r="V59" i="7"/>
  <c r="R59" i="7"/>
  <c r="Q59" i="7"/>
  <c r="W47" i="7"/>
  <c r="W58" i="7"/>
  <c r="W57" i="7"/>
  <c r="W52" i="7"/>
  <c r="W50" i="7"/>
  <c r="W55" i="7"/>
  <c r="W56" i="7"/>
  <c r="W54" i="7"/>
  <c r="W53" i="7"/>
  <c r="W48" i="7"/>
  <c r="W49" i="7"/>
  <c r="W51" i="7"/>
  <c r="V47" i="7"/>
  <c r="V58" i="7"/>
  <c r="V53" i="7"/>
  <c r="V52" i="7"/>
  <c r="V54" i="7"/>
  <c r="V49" i="7"/>
  <c r="V48" i="7"/>
  <c r="V50" i="7"/>
  <c r="V51" i="7"/>
  <c r="V55" i="7"/>
  <c r="V57" i="7"/>
  <c r="V56" i="7"/>
  <c r="R47" i="7"/>
  <c r="Q47" i="7"/>
  <c r="T47" i="7"/>
  <c r="X70" i="7"/>
  <c r="Y70" i="7" s="1"/>
  <c r="X69" i="7"/>
  <c r="Y69" i="7" s="1"/>
  <c r="X64" i="7"/>
  <c r="Y64" i="7" s="1"/>
  <c r="X66" i="7"/>
  <c r="Y66" i="7" s="1"/>
  <c r="X65" i="7"/>
  <c r="Y65" i="7" s="1"/>
  <c r="X60" i="7"/>
  <c r="Y60" i="7" s="1"/>
  <c r="X62" i="7"/>
  <c r="Y62" i="7" s="1"/>
  <c r="X67" i="7"/>
  <c r="Y67" i="7" s="1"/>
  <c r="X63" i="7"/>
  <c r="Y63" i="7" s="1"/>
  <c r="X68" i="7"/>
  <c r="Y68" i="7" s="1"/>
  <c r="U59" i="7"/>
  <c r="X59" i="7"/>
  <c r="Y59" i="7" s="1"/>
  <c r="X58" i="7"/>
  <c r="Y58" i="7" s="1"/>
  <c r="X51" i="7"/>
  <c r="Y51" i="7" s="1"/>
  <c r="X56" i="7"/>
  <c r="Y56" i="7" s="1"/>
  <c r="X52" i="7"/>
  <c r="Y52" i="7" s="1"/>
  <c r="X54" i="7"/>
  <c r="Y54" i="7" s="1"/>
  <c r="X57" i="7"/>
  <c r="Y57" i="7" s="1"/>
  <c r="X48" i="7"/>
  <c r="Y48" i="7" s="1"/>
  <c r="X50" i="7"/>
  <c r="Y50" i="7" s="1"/>
  <c r="X53" i="7"/>
  <c r="Y53" i="7" s="1"/>
  <c r="X55" i="7"/>
  <c r="Y55" i="7" s="1"/>
  <c r="U47" i="7"/>
  <c r="X47" i="7"/>
  <c r="Y47" i="7" s="1"/>
  <c r="M100" i="7"/>
  <c r="M108" i="7"/>
  <c r="E61" i="6"/>
  <c r="E60" i="6"/>
  <c r="U56" i="7"/>
  <c r="R69" i="7"/>
  <c r="R53" i="7"/>
  <c r="U63" i="7"/>
  <c r="U53" i="7"/>
  <c r="U55" i="7"/>
  <c r="R68" i="7"/>
  <c r="R52" i="7"/>
  <c r="R55" i="7"/>
  <c r="R62" i="7"/>
  <c r="Q63" i="7"/>
  <c r="T70" i="7"/>
  <c r="T62" i="7"/>
  <c r="T53" i="7"/>
  <c r="Q58" i="7"/>
  <c r="Q64" i="7"/>
  <c r="Q54" i="7"/>
  <c r="T69" i="7"/>
  <c r="T61" i="7"/>
  <c r="T52" i="7"/>
  <c r="Q51" i="7"/>
  <c r="U69" i="7"/>
  <c r="U52" i="7"/>
  <c r="R65" i="7"/>
  <c r="R49" i="7"/>
  <c r="U58" i="7"/>
  <c r="R67" i="7"/>
  <c r="U70" i="7"/>
  <c r="U68" i="7"/>
  <c r="U51" i="7"/>
  <c r="R64" i="7"/>
  <c r="R48" i="7"/>
  <c r="U57" i="7"/>
  <c r="R58" i="7"/>
  <c r="Q69" i="7"/>
  <c r="Q61" i="7"/>
  <c r="T68" i="7"/>
  <c r="T51" i="7"/>
  <c r="T59" i="7"/>
  <c r="Q62" i="7"/>
  <c r="Q52" i="7"/>
  <c r="T67" i="7"/>
  <c r="T58" i="7"/>
  <c r="T50" i="7"/>
  <c r="Q49" i="7"/>
  <c r="U65" i="7"/>
  <c r="U48" i="7"/>
  <c r="U54" i="7"/>
  <c r="U66" i="7"/>
  <c r="R66" i="7"/>
  <c r="U64" i="7"/>
  <c r="R60" i="7"/>
  <c r="R50" i="7"/>
  <c r="Q67" i="7"/>
  <c r="T66" i="7"/>
  <c r="T57" i="7"/>
  <c r="T49" i="7"/>
  <c r="Q68" i="7"/>
  <c r="Q50" i="7"/>
  <c r="T65" i="7"/>
  <c r="T56" i="7"/>
  <c r="Q55" i="7"/>
  <c r="R57" i="7"/>
  <c r="U67" i="7"/>
  <c r="U50" i="7"/>
  <c r="R51" i="7"/>
  <c r="U62" i="7"/>
  <c r="U60" i="7"/>
  <c r="R70" i="7"/>
  <c r="T72" i="7"/>
  <c r="T55" i="7"/>
  <c r="Q53" i="7"/>
  <c r="Q65" i="7"/>
  <c r="Q70" i="7"/>
  <c r="T63" i="7"/>
  <c r="T64" i="7"/>
  <c r="Q56" i="7"/>
  <c r="R54" i="7"/>
  <c r="R56" i="7"/>
  <c r="Q57" i="7"/>
  <c r="Q66" i="7"/>
  <c r="T54" i="7"/>
  <c r="R63" i="7"/>
  <c r="Q42" i="8"/>
  <c r="M42" i="8"/>
  <c r="D25" i="8"/>
  <c r="H166" i="6"/>
  <c r="F166" i="6"/>
  <c r="X120" i="7"/>
  <c r="H164" i="6"/>
  <c r="H158" i="6"/>
  <c r="H154" i="6"/>
  <c r="H142" i="6"/>
  <c r="H140" i="6"/>
  <c r="H137" i="6"/>
  <c r="H131" i="6"/>
  <c r="H133" i="6" s="1"/>
  <c r="H130" i="6"/>
  <c r="H129" i="6"/>
  <c r="H128" i="6"/>
  <c r="H124" i="6"/>
  <c r="H123" i="6"/>
  <c r="H122" i="6"/>
  <c r="H121" i="6"/>
  <c r="H115" i="6"/>
  <c r="H114" i="6"/>
  <c r="H112" i="6"/>
  <c r="H100" i="6"/>
  <c r="H88" i="6"/>
  <c r="W73" i="7" l="1"/>
  <c r="V73" i="7"/>
  <c r="H102" i="6"/>
  <c r="E65" i="6"/>
  <c r="E66" i="6" s="1"/>
  <c r="E18" i="16" s="1"/>
  <c r="H135" i="6"/>
  <c r="H35" i="13"/>
  <c r="H116" i="6"/>
  <c r="H117" i="6" s="1"/>
  <c r="H125" i="6"/>
  <c r="H10" i="16" s="1"/>
  <c r="H36" i="13" l="1"/>
  <c r="B37" i="8"/>
  <c r="B36" i="8"/>
  <c r="B229" i="7"/>
  <c r="B226" i="7"/>
  <c r="B227" i="7"/>
  <c r="C181" i="6" l="1"/>
  <c r="F164" i="6" l="1"/>
  <c r="E50" i="7" l="1"/>
  <c r="C50" i="7"/>
  <c r="E67" i="7"/>
  <c r="C67" i="7"/>
  <c r="C141" i="7"/>
  <c r="E59" i="7"/>
  <c r="C59" i="7"/>
  <c r="F140" i="7"/>
  <c r="D140" i="7"/>
  <c r="F139" i="7"/>
  <c r="D139" i="7"/>
  <c r="E138" i="7"/>
  <c r="C138" i="7"/>
  <c r="C142" i="6"/>
  <c r="C117" i="6"/>
  <c r="F88" i="6"/>
  <c r="F140" i="6"/>
  <c r="F137" i="6"/>
  <c r="F130" i="6"/>
  <c r="F129" i="6"/>
  <c r="F128" i="6"/>
  <c r="F124" i="6"/>
  <c r="F123" i="6"/>
  <c r="F122" i="6"/>
  <c r="F121" i="6"/>
  <c r="F115" i="6"/>
  <c r="F114" i="6"/>
  <c r="F112" i="6"/>
  <c r="D97" i="6"/>
  <c r="D96" i="6"/>
  <c r="D95" i="6"/>
  <c r="G102" i="6"/>
  <c r="F100" i="6"/>
  <c r="D103" i="6"/>
  <c r="C103" i="6"/>
  <c r="E102" i="6"/>
  <c r="D102" i="6"/>
  <c r="C102" i="6"/>
  <c r="D101" i="6"/>
  <c r="C101" i="6"/>
  <c r="D100" i="6"/>
  <c r="C100" i="6"/>
  <c r="D99" i="6"/>
  <c r="C99" i="6"/>
  <c r="B99" i="6"/>
  <c r="B103" i="6"/>
  <c r="B102" i="6"/>
  <c r="B101" i="6"/>
  <c r="B100" i="6"/>
  <c r="C97" i="6"/>
  <c r="C96" i="6"/>
  <c r="C95" i="6"/>
  <c r="B97" i="6"/>
  <c r="B96" i="6"/>
  <c r="B95" i="6"/>
  <c r="E121" i="7"/>
  <c r="E122" i="7"/>
  <c r="E79" i="6" l="1"/>
  <c r="E186" i="6"/>
  <c r="B32" i="17"/>
  <c r="B34" i="16"/>
  <c r="B31" i="17"/>
  <c r="B33" i="16"/>
  <c r="F102" i="6"/>
  <c r="C619" i="6"/>
  <c r="C622" i="6"/>
  <c r="F35" i="13"/>
  <c r="F116" i="6"/>
  <c r="F117" i="6" s="1"/>
  <c r="F135" i="6"/>
  <c r="F141" i="7"/>
  <c r="D121" i="7"/>
  <c r="D141" i="7"/>
  <c r="F125" i="6"/>
  <c r="F10" i="16" s="1"/>
  <c r="J58" i="8"/>
  <c r="J57" i="8"/>
  <c r="J56" i="8"/>
  <c r="J55" i="8"/>
  <c r="J54" i="8"/>
  <c r="J53" i="8"/>
  <c r="J52" i="8"/>
  <c r="J51" i="8"/>
  <c r="J50" i="8"/>
  <c r="J49" i="8"/>
  <c r="J48" i="8"/>
  <c r="J47" i="8"/>
  <c r="B52" i="8"/>
  <c r="C52" i="8"/>
  <c r="E25" i="8"/>
  <c r="I58" i="8"/>
  <c r="I57" i="8"/>
  <c r="I56" i="8"/>
  <c r="I55" i="8"/>
  <c r="I54" i="8"/>
  <c r="I53" i="8"/>
  <c r="I51" i="8"/>
  <c r="I50" i="8"/>
  <c r="I49" i="8"/>
  <c r="I48" i="8"/>
  <c r="I47" i="8"/>
  <c r="C58" i="8"/>
  <c r="C57" i="8"/>
  <c r="C56" i="8"/>
  <c r="C55" i="8"/>
  <c r="C54" i="8"/>
  <c r="C53" i="8"/>
  <c r="C51" i="8"/>
  <c r="C50" i="8"/>
  <c r="C49" i="8"/>
  <c r="C48" i="8"/>
  <c r="C47" i="8"/>
  <c r="B47" i="8"/>
  <c r="B58" i="8"/>
  <c r="B57" i="8"/>
  <c r="B56" i="8"/>
  <c r="B55" i="8"/>
  <c r="B54" i="8"/>
  <c r="B53" i="8"/>
  <c r="B51" i="8"/>
  <c r="B50" i="8"/>
  <c r="B49" i="8"/>
  <c r="B48" i="8"/>
  <c r="F36" i="13" l="1"/>
  <c r="G160" i="6"/>
  <c r="G163" i="6" s="1"/>
  <c r="E160" i="6"/>
  <c r="E227" i="7"/>
  <c r="C11" i="8" s="1"/>
  <c r="E226" i="7"/>
  <c r="E163" i="6" l="1"/>
  <c r="F160" i="6"/>
  <c r="F163" i="6" s="1"/>
  <c r="G37" i="13"/>
  <c r="H160" i="6"/>
  <c r="H163" i="6" s="1"/>
  <c r="H23" i="8"/>
  <c r="J200" i="7"/>
  <c r="I200" i="7"/>
  <c r="J209" i="7"/>
  <c r="J210" i="7"/>
  <c r="J211" i="7"/>
  <c r="J212" i="7"/>
  <c r="I212" i="7"/>
  <c r="I211" i="7"/>
  <c r="I210" i="7"/>
  <c r="I208" i="7"/>
  <c r="D213" i="7"/>
  <c r="C213" i="7"/>
  <c r="D58" i="8"/>
  <c r="E58" i="8" s="1"/>
  <c r="L58" i="8" s="1"/>
  <c r="D57" i="8"/>
  <c r="E57" i="8" s="1"/>
  <c r="L57" i="8" s="1"/>
  <c r="D56" i="8"/>
  <c r="E56" i="8" s="1"/>
  <c r="L56" i="8" s="1"/>
  <c r="I206" i="7"/>
  <c r="I204" i="7"/>
  <c r="J202" i="7"/>
  <c r="J201" i="7"/>
  <c r="D200" i="7"/>
  <c r="C200" i="7"/>
  <c r="C226" i="6"/>
  <c r="C225" i="6"/>
  <c r="F154" i="6"/>
  <c r="F158" i="6"/>
  <c r="W120" i="7"/>
  <c r="M97" i="7"/>
  <c r="M112" i="7"/>
  <c r="M111" i="7"/>
  <c r="R109" i="7"/>
  <c r="Q109" i="7"/>
  <c r="P17" i="7"/>
  <c r="P16" i="7"/>
  <c r="P15" i="7"/>
  <c r="Q57" i="8" l="1"/>
  <c r="M57" i="8"/>
  <c r="S57" i="8"/>
  <c r="N57" i="8"/>
  <c r="T57" i="8"/>
  <c r="P57" i="8"/>
  <c r="O57" i="8"/>
  <c r="R57" i="8"/>
  <c r="T58" i="8"/>
  <c r="P58" i="8"/>
  <c r="N58" i="8"/>
  <c r="Q58" i="8"/>
  <c r="S58" i="8"/>
  <c r="O58" i="8"/>
  <c r="R58" i="8"/>
  <c r="M58" i="8"/>
  <c r="R56" i="8"/>
  <c r="N56" i="8"/>
  <c r="T56" i="8"/>
  <c r="O56" i="8"/>
  <c r="Q56" i="8"/>
  <c r="M56" i="8"/>
  <c r="P56" i="8"/>
  <c r="S56" i="8"/>
  <c r="F37" i="13"/>
  <c r="E37" i="13"/>
  <c r="H56" i="8"/>
  <c r="K56" i="8"/>
  <c r="H57" i="8"/>
  <c r="K57" i="8"/>
  <c r="H58" i="8"/>
  <c r="K58" i="8"/>
  <c r="U57" i="8"/>
  <c r="U58" i="8"/>
  <c r="U56" i="8"/>
  <c r="F57" i="8"/>
  <c r="G57" i="8"/>
  <c r="F58" i="8"/>
  <c r="G58" i="8"/>
  <c r="F56" i="8"/>
  <c r="G56" i="8"/>
  <c r="I202" i="7"/>
  <c r="D48" i="8"/>
  <c r="E48" i="8" s="1"/>
  <c r="J206" i="7"/>
  <c r="D52" i="8"/>
  <c r="E52" i="8" s="1"/>
  <c r="L52" i="8" s="1"/>
  <c r="I203" i="7"/>
  <c r="D49" i="8"/>
  <c r="E49" i="8" s="1"/>
  <c r="J207" i="7"/>
  <c r="D53" i="8"/>
  <c r="E53" i="8" s="1"/>
  <c r="L53" i="8" s="1"/>
  <c r="J204" i="7"/>
  <c r="D50" i="8"/>
  <c r="E50" i="8" s="1"/>
  <c r="J208" i="7"/>
  <c r="D54" i="8"/>
  <c r="E54" i="8" s="1"/>
  <c r="L54" i="8" s="1"/>
  <c r="J205" i="7"/>
  <c r="D51" i="8"/>
  <c r="E51" i="8" s="1"/>
  <c r="I209" i="7"/>
  <c r="D55" i="8"/>
  <c r="E55" i="8" s="1"/>
  <c r="L55" i="8" s="1"/>
  <c r="I201" i="7"/>
  <c r="D47" i="8"/>
  <c r="E47" i="8" s="1"/>
  <c r="J203" i="7"/>
  <c r="I207" i="7"/>
  <c r="I205" i="7"/>
  <c r="S51" i="8" l="1"/>
  <c r="P51" i="8"/>
  <c r="P48" i="8"/>
  <c r="S48" i="8"/>
  <c r="P50" i="8"/>
  <c r="S50" i="8"/>
  <c r="P49" i="8"/>
  <c r="S49" i="8"/>
  <c r="S55" i="8"/>
  <c r="O55" i="8"/>
  <c r="Q55" i="8"/>
  <c r="P55" i="8"/>
  <c r="R55" i="8"/>
  <c r="N55" i="8"/>
  <c r="M55" i="8"/>
  <c r="T55" i="8"/>
  <c r="T54" i="8"/>
  <c r="P54" i="8"/>
  <c r="R54" i="8"/>
  <c r="Q54" i="8"/>
  <c r="S54" i="8"/>
  <c r="O54" i="8"/>
  <c r="N54" i="8"/>
  <c r="M54" i="8"/>
  <c r="Q53" i="8"/>
  <c r="M53" i="8"/>
  <c r="S53" i="8"/>
  <c r="R53" i="8"/>
  <c r="T53" i="8"/>
  <c r="P53" i="8"/>
  <c r="O53" i="8"/>
  <c r="N53" i="8"/>
  <c r="R52" i="8"/>
  <c r="N52" i="8"/>
  <c r="T52" i="8"/>
  <c r="S52" i="8"/>
  <c r="Q52" i="8"/>
  <c r="M52" i="8"/>
  <c r="P52" i="8"/>
  <c r="O52" i="8"/>
  <c r="H55" i="8"/>
  <c r="K55" i="8"/>
  <c r="H53" i="8"/>
  <c r="K53" i="8"/>
  <c r="H52" i="8"/>
  <c r="K52" i="8"/>
  <c r="H54" i="8"/>
  <c r="K54" i="8"/>
  <c r="U55" i="8"/>
  <c r="U54" i="8"/>
  <c r="G50" i="8"/>
  <c r="G51" i="8"/>
  <c r="G48" i="8"/>
  <c r="G49" i="8"/>
  <c r="G47" i="8"/>
  <c r="F55" i="8"/>
  <c r="G55" i="8"/>
  <c r="F54" i="8"/>
  <c r="G54" i="8"/>
  <c r="G53" i="8"/>
  <c r="G52" i="8"/>
  <c r="E59" i="8"/>
  <c r="D223" i="7"/>
  <c r="D219" i="7"/>
  <c r="D222" i="7"/>
  <c r="D220" i="7"/>
  <c r="D218" i="7"/>
  <c r="C220" i="7"/>
  <c r="C222" i="7"/>
  <c r="C223" i="7"/>
  <c r="C218" i="7"/>
  <c r="C219" i="7"/>
  <c r="B286" i="7"/>
  <c r="B284" i="7"/>
  <c r="B281" i="7"/>
  <c r="B279" i="7"/>
  <c r="B278" i="7"/>
  <c r="B276" i="7"/>
  <c r="G59" i="8" l="1"/>
  <c r="E223" i="7"/>
  <c r="E222" i="7"/>
  <c r="B269" i="7"/>
  <c r="B268" i="7"/>
  <c r="B263" i="7" l="1"/>
  <c r="B262" i="7"/>
  <c r="G209" i="6"/>
  <c r="E209" i="6"/>
  <c r="B194" i="7"/>
  <c r="B196" i="7"/>
  <c r="B193" i="7"/>
  <c r="E119" i="7"/>
  <c r="G170" i="6" l="1"/>
  <c r="E70" i="6"/>
  <c r="E74" i="6"/>
  <c r="E145" i="6" s="1"/>
  <c r="E117" i="6"/>
  <c r="E33" i="16" s="1"/>
  <c r="E125" i="6"/>
  <c r="E182" i="6"/>
  <c r="E183" i="6"/>
  <c r="E188" i="6"/>
  <c r="E201" i="6"/>
  <c r="E202" i="6"/>
  <c r="E203" i="6"/>
  <c r="E208" i="6"/>
  <c r="H57" i="6"/>
  <c r="G70" i="6"/>
  <c r="F21" i="17" s="1"/>
  <c r="G74" i="6"/>
  <c r="G34" i="13"/>
  <c r="G117" i="6"/>
  <c r="G125" i="6"/>
  <c r="F25" i="17" s="1"/>
  <c r="E25" i="17" s="1"/>
  <c r="G136" i="6"/>
  <c r="H136" i="6" s="1"/>
  <c r="H138" i="6" s="1"/>
  <c r="G182" i="6"/>
  <c r="G188" i="6"/>
  <c r="G201" i="6"/>
  <c r="G202" i="6"/>
  <c r="G203" i="6"/>
  <c r="G208" i="6"/>
  <c r="F22" i="17" l="1"/>
  <c r="G145" i="6"/>
  <c r="F31" i="17"/>
  <c r="E31" i="17" s="1"/>
  <c r="G33" i="16"/>
  <c r="G22" i="17"/>
  <c r="E22" i="17"/>
  <c r="G21" i="17"/>
  <c r="E21" i="17"/>
  <c r="G32" i="13"/>
  <c r="G20" i="16"/>
  <c r="G31" i="13"/>
  <c r="G19" i="16"/>
  <c r="E32" i="13"/>
  <c r="E20" i="16"/>
  <c r="E31" i="13"/>
  <c r="E19" i="16"/>
  <c r="G36" i="13"/>
  <c r="E36" i="13"/>
  <c r="F86" i="6"/>
  <c r="E34" i="13"/>
  <c r="G101" i="6"/>
  <c r="H86" i="6"/>
  <c r="G97" i="6"/>
  <c r="H70" i="6"/>
  <c r="G30" i="13"/>
  <c r="G103" i="6"/>
  <c r="H92" i="6"/>
  <c r="G99" i="6"/>
  <c r="H74" i="6"/>
  <c r="E136" i="6"/>
  <c r="F136" i="6" s="1"/>
  <c r="F138" i="6" s="1"/>
  <c r="E99" i="6"/>
  <c r="F74" i="6"/>
  <c r="E30" i="13"/>
  <c r="E97" i="6"/>
  <c r="F70" i="6"/>
  <c r="E101" i="6"/>
  <c r="G210" i="6"/>
  <c r="G80" i="6"/>
  <c r="E210" i="6"/>
  <c r="G138" i="6"/>
  <c r="R77" i="7"/>
  <c r="G42" i="16" s="1"/>
  <c r="Q77" i="7"/>
  <c r="C7" i="8"/>
  <c r="F7" i="8" s="1"/>
  <c r="E153" i="6" l="1"/>
  <c r="F153" i="6" s="1"/>
  <c r="E42" i="16"/>
  <c r="H34" i="13"/>
  <c r="U4" i="7"/>
  <c r="G21" i="16"/>
  <c r="H103" i="6"/>
  <c r="G33" i="13"/>
  <c r="F34" i="13"/>
  <c r="F171" i="6"/>
  <c r="F97" i="6"/>
  <c r="F31" i="13"/>
  <c r="F99" i="6"/>
  <c r="F32" i="13"/>
  <c r="H97" i="6"/>
  <c r="H31" i="13"/>
  <c r="H99" i="6"/>
  <c r="H32" i="13"/>
  <c r="E138" i="6"/>
  <c r="G96" i="6"/>
  <c r="H66" i="6"/>
  <c r="E96" i="6"/>
  <c r="F66" i="6"/>
  <c r="G100" i="6"/>
  <c r="G153" i="6"/>
  <c r="E26" i="8"/>
  <c r="H153" i="6" l="1"/>
  <c r="F40" i="17"/>
  <c r="H96" i="6"/>
  <c r="H30" i="13"/>
  <c r="F96" i="6"/>
  <c r="F30" i="13"/>
  <c r="D160" i="7"/>
  <c r="C160" i="7"/>
  <c r="E117" i="7"/>
  <c r="E185" i="6" s="1"/>
  <c r="E118" i="7"/>
  <c r="E184" i="6" s="1"/>
  <c r="R164" i="7"/>
  <c r="N2" i="7"/>
  <c r="R2" i="7"/>
  <c r="N4" i="7"/>
  <c r="N36" i="7"/>
  <c r="M72" i="7"/>
  <c r="N70" i="7"/>
  <c r="M71" i="7" s="1"/>
  <c r="N69" i="7"/>
  <c r="N68" i="7"/>
  <c r="N67" i="7"/>
  <c r="N66" i="7"/>
  <c r="N65" i="7"/>
  <c r="N64" i="7"/>
  <c r="N63" i="7"/>
  <c r="N62" i="7"/>
  <c r="N61" i="7"/>
  <c r="N60" i="7"/>
  <c r="P60" i="7" s="1"/>
  <c r="M70" i="7"/>
  <c r="M69" i="7"/>
  <c r="M68" i="7"/>
  <c r="M67" i="7"/>
  <c r="M66" i="7"/>
  <c r="M65" i="7"/>
  <c r="M64" i="7"/>
  <c r="M63" i="7"/>
  <c r="M62" i="7"/>
  <c r="M61" i="7"/>
  <c r="P59" i="7"/>
  <c r="M60" i="7"/>
  <c r="N48" i="7"/>
  <c r="M59" i="7"/>
  <c r="W41" i="7" l="1"/>
  <c r="W38" i="7"/>
  <c r="W40" i="7"/>
  <c r="W39" i="7"/>
  <c r="N49" i="7"/>
  <c r="P48" i="7"/>
  <c r="S48" i="7" s="1"/>
  <c r="E40" i="17"/>
  <c r="P71" i="7"/>
  <c r="S71" i="7" s="1"/>
  <c r="S72" i="7"/>
  <c r="P61" i="7"/>
  <c r="S61" i="7" s="1"/>
  <c r="P62" i="7"/>
  <c r="S62" i="7" s="1"/>
  <c r="S60" i="7"/>
  <c r="S59" i="7"/>
  <c r="S47" i="7"/>
  <c r="R46" i="7"/>
  <c r="Q46" i="7"/>
  <c r="M41" i="7"/>
  <c r="P41" i="7" s="1"/>
  <c r="P40" i="7"/>
  <c r="M40" i="7"/>
  <c r="P39" i="7"/>
  <c r="M39" i="7"/>
  <c r="P38" i="7"/>
  <c r="S38" i="7" s="1"/>
  <c r="R37" i="7"/>
  <c r="Q37" i="7"/>
  <c r="R5" i="7"/>
  <c r="N5" i="7"/>
  <c r="R4" i="7"/>
  <c r="M28" i="7"/>
  <c r="P27" i="7"/>
  <c r="M27" i="7"/>
  <c r="P26" i="7"/>
  <c r="M26" i="7"/>
  <c r="P25" i="7"/>
  <c r="S25" i="7" s="1"/>
  <c r="R24" i="7"/>
  <c r="Q24" i="7"/>
  <c r="R14" i="7"/>
  <c r="Q14" i="7"/>
  <c r="G113" i="7"/>
  <c r="E113" i="7"/>
  <c r="E23" i="7"/>
  <c r="C23" i="7"/>
  <c r="E45" i="7"/>
  <c r="C45" i="7"/>
  <c r="E62" i="7"/>
  <c r="C62" i="7"/>
  <c r="E54" i="7"/>
  <c r="C54" i="7"/>
  <c r="R190" i="7"/>
  <c r="Q190" i="7"/>
  <c r="Q164" i="7"/>
  <c r="R76" i="7"/>
  <c r="Q76" i="7"/>
  <c r="R155" i="7"/>
  <c r="Q155" i="7"/>
  <c r="R135" i="7"/>
  <c r="Q135" i="7"/>
  <c r="R117" i="7"/>
  <c r="Q117" i="7"/>
  <c r="R101" i="7"/>
  <c r="Q101" i="7"/>
  <c r="D217" i="7"/>
  <c r="C217" i="7"/>
  <c r="D190" i="7"/>
  <c r="C190" i="7"/>
  <c r="R79" i="7"/>
  <c r="Q79" i="7"/>
  <c r="R78" i="7"/>
  <c r="Q78" i="7"/>
  <c r="N50" i="7" l="1"/>
  <c r="P49" i="7"/>
  <c r="S49" i="7" s="1"/>
  <c r="S39" i="7"/>
  <c r="P63" i="7"/>
  <c r="S63" i="7" s="1"/>
  <c r="S40" i="7"/>
  <c r="S41" i="7"/>
  <c r="S26" i="7"/>
  <c r="S27" i="7"/>
  <c r="S28" i="7"/>
  <c r="M193" i="7"/>
  <c r="M192" i="7"/>
  <c r="N51" i="7" l="1"/>
  <c r="P50" i="7"/>
  <c r="S50" i="7" s="1"/>
  <c r="P64" i="7"/>
  <c r="S64" i="7" s="1"/>
  <c r="M167" i="7"/>
  <c r="M166" i="7"/>
  <c r="N52" i="7" l="1"/>
  <c r="P51" i="7"/>
  <c r="S51" i="7" s="1"/>
  <c r="P65" i="7"/>
  <c r="S65" i="7" s="1"/>
  <c r="D120" i="7"/>
  <c r="N53" i="7" l="1"/>
  <c r="P52" i="7"/>
  <c r="S52" i="7" s="1"/>
  <c r="E120" i="7"/>
  <c r="E78" i="6" s="1"/>
  <c r="P66" i="7"/>
  <c r="S66" i="7" s="1"/>
  <c r="N54" i="7" l="1"/>
  <c r="P53" i="7"/>
  <c r="S53" i="7" s="1"/>
  <c r="P67" i="7"/>
  <c r="S67" i="7" s="1"/>
  <c r="F78" i="7"/>
  <c r="D78" i="7"/>
  <c r="F73" i="7"/>
  <c r="D73" i="7"/>
  <c r="F77" i="7"/>
  <c r="D77" i="7"/>
  <c r="F75" i="7"/>
  <c r="D75" i="7"/>
  <c r="F66" i="7"/>
  <c r="D66" i="7"/>
  <c r="F65" i="7"/>
  <c r="D65" i="7"/>
  <c r="G3" i="6"/>
  <c r="E3" i="6"/>
  <c r="F60" i="7"/>
  <c r="D60" i="7"/>
  <c r="F58" i="7"/>
  <c r="D58" i="7"/>
  <c r="F57" i="7"/>
  <c r="D57" i="7"/>
  <c r="E9" i="6" s="1"/>
  <c r="D49" i="7"/>
  <c r="F49" i="7"/>
  <c r="F48" i="7"/>
  <c r="D48" i="7"/>
  <c r="M158" i="7"/>
  <c r="M157" i="7"/>
  <c r="E16" i="16" l="1"/>
  <c r="E47" i="16"/>
  <c r="E52" i="16"/>
  <c r="E37" i="16"/>
  <c r="F8" i="16"/>
  <c r="G16" i="16"/>
  <c r="G47" i="16"/>
  <c r="G37" i="16"/>
  <c r="G52" i="16"/>
  <c r="H8" i="16"/>
  <c r="N55" i="7"/>
  <c r="P54" i="7"/>
  <c r="S54" i="7" s="1"/>
  <c r="E28" i="13"/>
  <c r="E44" i="13"/>
  <c r="B51" i="13" s="1"/>
  <c r="G28" i="13"/>
  <c r="G44" i="13"/>
  <c r="D67" i="7"/>
  <c r="F67" i="7"/>
  <c r="G32" i="6"/>
  <c r="G27" i="6"/>
  <c r="F50" i="7"/>
  <c r="E32" i="6"/>
  <c r="H165" i="6"/>
  <c r="H167" i="6" s="1"/>
  <c r="H170" i="6" s="1"/>
  <c r="G37" i="6"/>
  <c r="G9" i="6"/>
  <c r="E37" i="6"/>
  <c r="E27" i="6"/>
  <c r="C159" i="6"/>
  <c r="B47" i="17" s="1"/>
  <c r="P68" i="7"/>
  <c r="S68" i="7" s="1"/>
  <c r="F59" i="7"/>
  <c r="D59" i="7"/>
  <c r="D50" i="7"/>
  <c r="E8" i="6" s="1"/>
  <c r="E229" i="7"/>
  <c r="H37" i="13" s="1"/>
  <c r="C10" i="8"/>
  <c r="D221" i="7"/>
  <c r="E220" i="7"/>
  <c r="E219" i="7"/>
  <c r="E28" i="8"/>
  <c r="E27" i="8"/>
  <c r="D28" i="8"/>
  <c r="D27" i="8"/>
  <c r="M104" i="7"/>
  <c r="M103" i="7"/>
  <c r="F19" i="17" l="1"/>
  <c r="F18" i="17"/>
  <c r="D224" i="7"/>
  <c r="G8" i="6"/>
  <c r="N56" i="7"/>
  <c r="P55" i="7"/>
  <c r="S55" i="7" s="1"/>
  <c r="E19" i="17"/>
  <c r="G19" i="17"/>
  <c r="G16" i="6"/>
  <c r="E16" i="6"/>
  <c r="E167" i="6"/>
  <c r="E170" i="6" s="1"/>
  <c r="F165" i="6"/>
  <c r="F167" i="6" s="1"/>
  <c r="F170" i="6" s="1"/>
  <c r="P69" i="7"/>
  <c r="S69" i="7" s="1"/>
  <c r="F27" i="8"/>
  <c r="F28" i="8"/>
  <c r="G28" i="8" s="1"/>
  <c r="E29" i="8"/>
  <c r="M141" i="7"/>
  <c r="M140" i="7"/>
  <c r="M139" i="7"/>
  <c r="M138" i="7"/>
  <c r="M120" i="7"/>
  <c r="M119" i="7"/>
  <c r="N57" i="7" l="1"/>
  <c r="P56" i="7"/>
  <c r="S56" i="7" s="1"/>
  <c r="G27" i="8"/>
  <c r="P70" i="7"/>
  <c r="S70" i="7" s="1"/>
  <c r="H251" i="7"/>
  <c r="H250" i="7"/>
  <c r="H249" i="7"/>
  <c r="H248" i="7"/>
  <c r="H245" i="7"/>
  <c r="H244" i="7"/>
  <c r="H242" i="7"/>
  <c r="H241" i="7"/>
  <c r="H240" i="7"/>
  <c r="H238" i="7"/>
  <c r="H237" i="7"/>
  <c r="H236" i="7"/>
  <c r="H246" i="7"/>
  <c r="G179" i="6" l="1"/>
  <c r="N58" i="7"/>
  <c r="P57" i="7"/>
  <c r="S57" i="7" s="1"/>
  <c r="E179" i="6"/>
  <c r="D7" i="8"/>
  <c r="D12" i="8" s="1"/>
  <c r="P58" i="7" l="1"/>
  <c r="S58" i="7" s="1"/>
  <c r="D118" i="7"/>
  <c r="M18" i="7"/>
  <c r="M17" i="7"/>
  <c r="M16" i="7"/>
  <c r="F33" i="7"/>
  <c r="D33" i="7"/>
  <c r="E13" i="6" s="1"/>
  <c r="F76" i="7"/>
  <c r="F74" i="7"/>
  <c r="F72" i="7"/>
  <c r="F28" i="7"/>
  <c r="F27" i="7"/>
  <c r="F26" i="7"/>
  <c r="F34" i="7" s="1"/>
  <c r="D28" i="7"/>
  <c r="D27" i="7"/>
  <c r="D26" i="7"/>
  <c r="D34" i="7" s="1"/>
  <c r="D76" i="7"/>
  <c r="D74" i="7"/>
  <c r="D72" i="7"/>
  <c r="E25" i="7"/>
  <c r="C25" i="7"/>
  <c r="C333" i="7" l="1"/>
  <c r="C331" i="7"/>
  <c r="C332" i="7"/>
  <c r="B340" i="7" s="1"/>
  <c r="D31" i="7"/>
  <c r="E10" i="6" s="1"/>
  <c r="F31" i="7"/>
  <c r="G10" i="6" s="1"/>
  <c r="C258" i="7"/>
  <c r="B275" i="7" s="1"/>
  <c r="C294" i="7"/>
  <c r="C259" i="7"/>
  <c r="B267" i="7" s="1"/>
  <c r="C295" i="7"/>
  <c r="B303" i="7" s="1"/>
  <c r="C296" i="7"/>
  <c r="C260" i="7"/>
  <c r="B266" i="7" s="1"/>
  <c r="E33" i="6"/>
  <c r="G26" i="6"/>
  <c r="G28" i="6"/>
  <c r="G13" i="6"/>
  <c r="G33" i="6"/>
  <c r="G7" i="6"/>
  <c r="S17" i="7"/>
  <c r="S16" i="7"/>
  <c r="S15" i="7"/>
  <c r="S18" i="7"/>
  <c r="E187" i="6"/>
  <c r="E191" i="6" s="1"/>
  <c r="E222" i="6" s="1"/>
  <c r="F29" i="7"/>
  <c r="E29" i="7"/>
  <c r="B9" i="8"/>
  <c r="B8" i="8"/>
  <c r="E49" i="16" l="1"/>
  <c r="E226" i="6"/>
  <c r="E39" i="13"/>
  <c r="B346" i="7"/>
  <c r="B348" i="7"/>
  <c r="B334" i="7"/>
  <c r="B339" i="7"/>
  <c r="B273" i="7"/>
  <c r="B261" i="7"/>
  <c r="B302" i="7"/>
  <c r="B297" i="7"/>
  <c r="B309" i="7"/>
  <c r="B311" i="7"/>
  <c r="E116" i="7"/>
  <c r="R193" i="7"/>
  <c r="R191" i="7"/>
  <c r="R192" i="7"/>
  <c r="F35" i="7"/>
  <c r="E52" i="7" s="1"/>
  <c r="E77" i="6" l="1"/>
  <c r="E80" i="6" s="1"/>
  <c r="G187" i="6"/>
  <c r="G191" i="6" s="1"/>
  <c r="G222" i="6" s="1"/>
  <c r="F52" i="7"/>
  <c r="G36" i="6" s="1"/>
  <c r="G14" i="6"/>
  <c r="R134" i="7" s="1"/>
  <c r="R194" i="7"/>
  <c r="G39" i="13" l="1"/>
  <c r="G49" i="16"/>
  <c r="G226" i="6"/>
  <c r="G17" i="6"/>
  <c r="G29" i="6" s="1"/>
  <c r="R100" i="7" s="1"/>
  <c r="U134" i="7"/>
  <c r="T4" i="7"/>
  <c r="E21" i="16"/>
  <c r="E33" i="13"/>
  <c r="E100" i="6"/>
  <c r="G139" i="6"/>
  <c r="H139" i="6" s="1"/>
  <c r="H17" i="6" l="1"/>
  <c r="G23" i="6"/>
  <c r="R104" i="7"/>
  <c r="U100" i="7"/>
  <c r="R103" i="7"/>
  <c r="R136" i="7"/>
  <c r="R140" i="7"/>
  <c r="R139" i="7"/>
  <c r="R138" i="7"/>
  <c r="R149" i="7"/>
  <c r="R146" i="7"/>
  <c r="R147" i="7"/>
  <c r="R148" i="7"/>
  <c r="R112" i="7"/>
  <c r="H29" i="6"/>
  <c r="G141" i="6"/>
  <c r="R105" i="7" l="1"/>
  <c r="R142" i="7"/>
  <c r="U104" i="7"/>
  <c r="U112" i="7"/>
  <c r="U103" i="7"/>
  <c r="U111" i="7"/>
  <c r="R151" i="7"/>
  <c r="U146" i="7"/>
  <c r="U140" i="7"/>
  <c r="U149" i="7"/>
  <c r="U147" i="7"/>
  <c r="U136" i="7"/>
  <c r="U148" i="7"/>
  <c r="U139" i="7"/>
  <c r="U138" i="7"/>
  <c r="G142" i="6"/>
  <c r="G25" i="17"/>
  <c r="H13" i="16"/>
  <c r="H38" i="6"/>
  <c r="H145" i="6"/>
  <c r="R111" i="7"/>
  <c r="R113" i="7" s="1"/>
  <c r="U105" i="7" l="1"/>
  <c r="U142" i="7"/>
  <c r="U113" i="7"/>
  <c r="U151" i="7"/>
  <c r="G151" i="6"/>
  <c r="F32" i="17"/>
  <c r="E32" i="17" s="1"/>
  <c r="G34" i="16"/>
  <c r="E18" i="17"/>
  <c r="E23" i="17" s="1"/>
  <c r="E26" i="17" s="1"/>
  <c r="G18" i="17"/>
  <c r="G23" i="17" s="1"/>
  <c r="G26" i="17" s="1"/>
  <c r="F23" i="17"/>
  <c r="H47" i="6"/>
  <c r="G17" i="16"/>
  <c r="G27" i="16" s="1"/>
  <c r="G29" i="13"/>
  <c r="G95" i="6"/>
  <c r="G104" i="6"/>
  <c r="G40" i="16" l="1"/>
  <c r="G39" i="16"/>
  <c r="R3" i="7"/>
  <c r="R116" i="7"/>
  <c r="U116" i="7" s="1"/>
  <c r="R61" i="7"/>
  <c r="R163" i="7"/>
  <c r="R165" i="7" s="1"/>
  <c r="H151" i="6"/>
  <c r="F38" i="17"/>
  <c r="F26" i="17"/>
  <c r="G250" i="6"/>
  <c r="H95" i="6"/>
  <c r="H29" i="13"/>
  <c r="C291" i="7"/>
  <c r="E297" i="7" s="1"/>
  <c r="H104" i="6"/>
  <c r="U3" i="7"/>
  <c r="R154" i="7"/>
  <c r="W28" i="7" l="1"/>
  <c r="W25" i="7"/>
  <c r="W27" i="7"/>
  <c r="W26" i="7"/>
  <c r="U154" i="7"/>
  <c r="R157" i="7"/>
  <c r="R156" i="7"/>
  <c r="U25" i="7"/>
  <c r="U26" i="7"/>
  <c r="U27" i="7"/>
  <c r="U28" i="7"/>
  <c r="R27" i="7"/>
  <c r="R28" i="7"/>
  <c r="R25" i="7"/>
  <c r="R26" i="7"/>
  <c r="U72" i="7"/>
  <c r="U40" i="7"/>
  <c r="U38" i="7"/>
  <c r="U41" i="7"/>
  <c r="U39" i="7"/>
  <c r="W15" i="7"/>
  <c r="R40" i="7"/>
  <c r="R41" i="7"/>
  <c r="R39" i="7"/>
  <c r="R38" i="7"/>
  <c r="R119" i="7"/>
  <c r="R118" i="7"/>
  <c r="R18" i="7"/>
  <c r="R16" i="7"/>
  <c r="R17" i="7"/>
  <c r="R15" i="7"/>
  <c r="R127" i="7"/>
  <c r="X118" i="7"/>
  <c r="X127" i="7"/>
  <c r="R73" i="7"/>
  <c r="U71" i="7"/>
  <c r="U61" i="7"/>
  <c r="U49" i="7"/>
  <c r="U17" i="7"/>
  <c r="U15" i="7"/>
  <c r="E38" i="17"/>
  <c r="X119" i="7"/>
  <c r="X128" i="7"/>
  <c r="R128" i="7"/>
  <c r="F304" i="7"/>
  <c r="F305" i="7" s="1"/>
  <c r="F298" i="7"/>
  <c r="E300" i="7" s="1"/>
  <c r="R167" i="7"/>
  <c r="R166" i="7"/>
  <c r="R159" i="7" l="1"/>
  <c r="R29" i="7"/>
  <c r="U29" i="7"/>
  <c r="W29" i="7"/>
  <c r="U157" i="7"/>
  <c r="U156" i="7"/>
  <c r="Q7" i="7"/>
  <c r="Q8" i="7"/>
  <c r="G106" i="6" s="1"/>
  <c r="W42" i="7"/>
  <c r="Q10" i="7"/>
  <c r="G108" i="6" s="1"/>
  <c r="U42" i="7"/>
  <c r="X130" i="7"/>
  <c r="R42" i="7"/>
  <c r="Q9" i="7"/>
  <c r="G107" i="6" s="1"/>
  <c r="U128" i="7"/>
  <c r="U119" i="7"/>
  <c r="U127" i="7"/>
  <c r="U118" i="7"/>
  <c r="U73" i="7"/>
  <c r="R130" i="7"/>
  <c r="X121" i="7"/>
  <c r="R121" i="7"/>
  <c r="U18" i="7"/>
  <c r="U10" i="7" s="1"/>
  <c r="H108" i="6" s="1"/>
  <c r="U16" i="7"/>
  <c r="U8" i="7" s="1"/>
  <c r="H106" i="6" s="1"/>
  <c r="U7" i="7"/>
  <c r="C309" i="7"/>
  <c r="E309" i="7" s="1"/>
  <c r="F299" i="7"/>
  <c r="C303" i="7"/>
  <c r="E306" i="7" s="1"/>
  <c r="R9" i="7"/>
  <c r="R7" i="7"/>
  <c r="R19" i="7"/>
  <c r="R168" i="7"/>
  <c r="R10" i="7"/>
  <c r="R8" i="7"/>
  <c r="E28" i="6"/>
  <c r="C29" i="7"/>
  <c r="G105" i="6" l="1"/>
  <c r="Q11" i="7"/>
  <c r="U159" i="7"/>
  <c r="G41" i="16" s="1"/>
  <c r="G152" i="6"/>
  <c r="H152" i="6" s="1"/>
  <c r="G148" i="6"/>
  <c r="U130" i="7"/>
  <c r="U121" i="7"/>
  <c r="H105" i="6"/>
  <c r="H148" i="6"/>
  <c r="U9" i="7"/>
  <c r="U19" i="7"/>
  <c r="E303" i="7"/>
  <c r="G251" i="6"/>
  <c r="G252" i="6" s="1"/>
  <c r="D29" i="7"/>
  <c r="F39" i="17" l="1"/>
  <c r="E39" i="17" s="1"/>
  <c r="G38" i="16"/>
  <c r="G44" i="16" s="1"/>
  <c r="U11" i="7"/>
  <c r="H107" i="6"/>
  <c r="H109" i="6" s="1"/>
  <c r="H146" i="6" s="1"/>
  <c r="G109" i="6"/>
  <c r="E7" i="6"/>
  <c r="D35" i="7"/>
  <c r="C52" i="7" s="1"/>
  <c r="D52" i="7" s="1"/>
  <c r="E36" i="6" s="1"/>
  <c r="E26" i="6" l="1"/>
  <c r="F30" i="17"/>
  <c r="E30" i="17" s="1"/>
  <c r="E33" i="17" s="1"/>
  <c r="G110" i="6"/>
  <c r="G195" i="6" s="1"/>
  <c r="G146" i="6"/>
  <c r="E14" i="6"/>
  <c r="Q134" i="7" s="1"/>
  <c r="F33" i="17" l="1"/>
  <c r="T134" i="7"/>
  <c r="Q136" i="7" l="1"/>
  <c r="Q140" i="7"/>
  <c r="Q138" i="7"/>
  <c r="Q139" i="7"/>
  <c r="Q148" i="7"/>
  <c r="Q146" i="7"/>
  <c r="Q149" i="7"/>
  <c r="Q147" i="7"/>
  <c r="Q192" i="7"/>
  <c r="Q142" i="7" l="1"/>
  <c r="Q151" i="7"/>
  <c r="T148" i="7"/>
  <c r="T147" i="7"/>
  <c r="T146" i="7"/>
  <c r="T149" i="7"/>
  <c r="T138" i="7"/>
  <c r="T140" i="7"/>
  <c r="T136" i="7"/>
  <c r="T139" i="7"/>
  <c r="G150" i="6"/>
  <c r="F37" i="17" s="1"/>
  <c r="Q191" i="7"/>
  <c r="Q193" i="7"/>
  <c r="T142" i="7" l="1"/>
  <c r="T151" i="7"/>
  <c r="E39" i="16" s="1"/>
  <c r="G155" i="6"/>
  <c r="H150" i="6"/>
  <c r="H155" i="6" s="1"/>
  <c r="H156" i="6" s="1"/>
  <c r="H168" i="6" s="1"/>
  <c r="E37" i="17"/>
  <c r="Q194" i="7"/>
  <c r="G156" i="6" l="1"/>
  <c r="H157" i="6"/>
  <c r="H172" i="6"/>
  <c r="H173" i="6" s="1"/>
  <c r="D159" i="7" s="1"/>
  <c r="E139" i="6"/>
  <c r="E17" i="6"/>
  <c r="G168" i="6" l="1"/>
  <c r="H181" i="6"/>
  <c r="H191" i="6" s="1"/>
  <c r="H175" i="6"/>
  <c r="H225" i="6"/>
  <c r="G194" i="6"/>
  <c r="G196" i="6" s="1"/>
  <c r="G197" i="6" s="1"/>
  <c r="G198" i="6" s="1"/>
  <c r="H38" i="13"/>
  <c r="G172" i="6"/>
  <c r="G157" i="6"/>
  <c r="F17" i="6"/>
  <c r="E23" i="6"/>
  <c r="E141" i="6"/>
  <c r="F139" i="6"/>
  <c r="F141" i="6" s="1"/>
  <c r="F142" i="6" s="1"/>
  <c r="E29" i="6"/>
  <c r="Q100" i="7" s="1"/>
  <c r="D170" i="7" l="1"/>
  <c r="C9" i="8"/>
  <c r="D184" i="7"/>
  <c r="D186" i="7"/>
  <c r="D182" i="7"/>
  <c r="D174" i="7"/>
  <c r="D175" i="7"/>
  <c r="D181" i="7"/>
  <c r="D172" i="7"/>
  <c r="D176" i="7"/>
  <c r="D171" i="7"/>
  <c r="D173" i="7"/>
  <c r="D185" i="7"/>
  <c r="D183" i="7"/>
  <c r="T100" i="7"/>
  <c r="Q103" i="7"/>
  <c r="Q104" i="7"/>
  <c r="G173" i="6"/>
  <c r="E9" i="17" s="1"/>
  <c r="F9" i="17" s="1"/>
  <c r="E621" i="6"/>
  <c r="C618" i="6"/>
  <c r="F29" i="6"/>
  <c r="E142" i="6"/>
  <c r="E34" i="16" s="1"/>
  <c r="D177" i="7" l="1"/>
  <c r="D187" i="7"/>
  <c r="T112" i="7"/>
  <c r="T103" i="7"/>
  <c r="T104" i="7"/>
  <c r="T111" i="7"/>
  <c r="F13" i="16"/>
  <c r="F145" i="6"/>
  <c r="G175" i="6"/>
  <c r="G38" i="13"/>
  <c r="G225" i="6"/>
  <c r="G227" i="6"/>
  <c r="G40" i="13" s="1"/>
  <c r="F619" i="6"/>
  <c r="E622" i="6"/>
  <c r="F623" i="6" s="1"/>
  <c r="F38" i="6"/>
  <c r="Q112" i="7"/>
  <c r="Q111" i="7"/>
  <c r="D161" i="7" l="1"/>
  <c r="D162" i="7" s="1"/>
  <c r="H179" i="6" s="1"/>
  <c r="H222" i="6" s="1"/>
  <c r="G232" i="6"/>
  <c r="G236" i="6" s="1"/>
  <c r="G237" i="6" s="1"/>
  <c r="G228" i="6"/>
  <c r="E17" i="16"/>
  <c r="E27" i="16" s="1"/>
  <c r="E29" i="13"/>
  <c r="F47" i="6"/>
  <c r="E95" i="6"/>
  <c r="E151" i="6" l="1"/>
  <c r="F151" i="6" s="1"/>
  <c r="G41" i="13"/>
  <c r="H226" i="6"/>
  <c r="H39" i="13"/>
  <c r="H227" i="6"/>
  <c r="H232" i="6" s="1"/>
  <c r="H236" i="6" s="1"/>
  <c r="F95" i="6"/>
  <c r="F29" i="13"/>
  <c r="H41" i="13" l="1"/>
  <c r="H40" i="13"/>
  <c r="E150" i="6" l="1"/>
  <c r="F150" i="6" s="1"/>
  <c r="E218" i="7"/>
  <c r="E221" i="7" s="1"/>
  <c r="F220" i="7" l="1"/>
  <c r="H28" i="8" s="1"/>
  <c r="E224" i="7"/>
  <c r="C221" i="7"/>
  <c r="D26" i="8"/>
  <c r="C224" i="7" l="1"/>
  <c r="F219" i="7"/>
  <c r="H27" i="8" s="1"/>
  <c r="D29" i="8"/>
  <c r="F26" i="8"/>
  <c r="F218" i="7" l="1"/>
  <c r="H26" i="8" s="1"/>
  <c r="F29" i="8"/>
  <c r="D31" i="8" s="1"/>
  <c r="G26" i="8"/>
  <c r="G29" i="8" s="1"/>
  <c r="H29" i="8" l="1"/>
  <c r="F221" i="7"/>
  <c r="D30" i="8" l="1"/>
  <c r="B17" i="8" s="1"/>
  <c r="F101" i="6" l="1"/>
  <c r="H101" i="6"/>
  <c r="H237" i="6"/>
  <c r="C37" i="8"/>
  <c r="E103" i="6" l="1"/>
  <c r="E104" i="6" l="1"/>
  <c r="F92" i="6"/>
  <c r="Q154" i="7" l="1"/>
  <c r="C328" i="7"/>
  <c r="F103" i="6"/>
  <c r="Q116" i="7"/>
  <c r="T116" i="7" s="1"/>
  <c r="Q163" i="7"/>
  <c r="Q165" i="7" s="1"/>
  <c r="N3" i="7"/>
  <c r="F104" i="6"/>
  <c r="E250" i="6"/>
  <c r="C255" i="7"/>
  <c r="P28" i="7"/>
  <c r="V27" i="7" l="1"/>
  <c r="Q25" i="7"/>
  <c r="Q28" i="7"/>
  <c r="Q26" i="7"/>
  <c r="V26" i="7"/>
  <c r="V28" i="7"/>
  <c r="V25" i="7"/>
  <c r="Q27" i="7"/>
  <c r="Q157" i="7"/>
  <c r="Q156" i="7"/>
  <c r="T154" i="7"/>
  <c r="Q60" i="7"/>
  <c r="Q72" i="7"/>
  <c r="Q48" i="7"/>
  <c r="Q71" i="7"/>
  <c r="V38" i="7"/>
  <c r="V39" i="7"/>
  <c r="V40" i="7"/>
  <c r="V41" i="7"/>
  <c r="Q38" i="7"/>
  <c r="Q119" i="7"/>
  <c r="Q118" i="7"/>
  <c r="V16" i="7"/>
  <c r="Q16" i="7"/>
  <c r="V18" i="7"/>
  <c r="Q17" i="7"/>
  <c r="V15" i="7"/>
  <c r="V17" i="7"/>
  <c r="Q18" i="7"/>
  <c r="Q15" i="7"/>
  <c r="W127" i="7"/>
  <c r="W118" i="7"/>
  <c r="Q127" i="7"/>
  <c r="T3" i="7"/>
  <c r="W128" i="7"/>
  <c r="W119" i="7"/>
  <c r="Q128" i="7"/>
  <c r="Q39" i="7"/>
  <c r="Q41" i="7"/>
  <c r="Q40" i="7"/>
  <c r="P72" i="7"/>
  <c r="E261" i="7"/>
  <c r="E611" i="6"/>
  <c r="Q166" i="7"/>
  <c r="Q167" i="7"/>
  <c r="P18" i="7"/>
  <c r="Q159" i="7" l="1"/>
  <c r="V29" i="7"/>
  <c r="T157" i="7"/>
  <c r="T156" i="7"/>
  <c r="T27" i="7"/>
  <c r="T28" i="7"/>
  <c r="T25" i="7"/>
  <c r="T26" i="7"/>
  <c r="Q29" i="7"/>
  <c r="T15" i="7"/>
  <c r="T71" i="7"/>
  <c r="T48" i="7"/>
  <c r="T60" i="7"/>
  <c r="V42" i="7"/>
  <c r="T119" i="7"/>
  <c r="T128" i="7"/>
  <c r="T118" i="7"/>
  <c r="T127" i="7"/>
  <c r="M7" i="7"/>
  <c r="W121" i="7"/>
  <c r="M10" i="7"/>
  <c r="E108" i="6" s="1"/>
  <c r="Q121" i="7"/>
  <c r="T16" i="7"/>
  <c r="T17" i="7"/>
  <c r="T18" i="7"/>
  <c r="Q130" i="7"/>
  <c r="W130" i="7"/>
  <c r="M9" i="7"/>
  <c r="E107" i="6" s="1"/>
  <c r="T41" i="7"/>
  <c r="T39" i="7"/>
  <c r="T40" i="7"/>
  <c r="T38" i="7"/>
  <c r="M8" i="7"/>
  <c r="E106" i="6" s="1"/>
  <c r="Q42" i="7"/>
  <c r="Q73" i="7"/>
  <c r="N7" i="7"/>
  <c r="C105" i="6" s="1"/>
  <c r="Q19" i="7"/>
  <c r="N9" i="7"/>
  <c r="C107" i="6" s="1"/>
  <c r="N10" i="7"/>
  <c r="C108" i="6" s="1"/>
  <c r="N8" i="7"/>
  <c r="C106" i="6" s="1"/>
  <c r="Q168" i="7"/>
  <c r="T159" i="7" l="1"/>
  <c r="E41" i="16" s="1"/>
  <c r="T29" i="7"/>
  <c r="E152" i="6"/>
  <c r="F152" i="6" s="1"/>
  <c r="T130" i="7"/>
  <c r="T121" i="7"/>
  <c r="T9" i="7"/>
  <c r="F107" i="6" s="1"/>
  <c r="F148" i="6"/>
  <c r="E148" i="6"/>
  <c r="T19" i="7"/>
  <c r="T8" i="7"/>
  <c r="F106" i="6" s="1"/>
  <c r="T42" i="7"/>
  <c r="T10" i="7"/>
  <c r="F108" i="6" s="1"/>
  <c r="T73" i="7"/>
  <c r="T7" i="7"/>
  <c r="F105" i="6" s="1"/>
  <c r="C90" i="6"/>
  <c r="E105" i="6"/>
  <c r="M11" i="7"/>
  <c r="F155" i="6" l="1"/>
  <c r="E155" i="6"/>
  <c r="E38" i="16"/>
  <c r="E44" i="16" s="1"/>
  <c r="E109" i="6"/>
  <c r="F109" i="6"/>
  <c r="F146" i="6" s="1"/>
  <c r="T11" i="7"/>
  <c r="E251" i="6" l="1"/>
  <c r="E606" i="6" s="1"/>
  <c r="E146" i="6"/>
  <c r="E156" i="6" s="1"/>
  <c r="F156" i="6"/>
  <c r="F172" i="6" s="1"/>
  <c r="F173" i="6" s="1"/>
  <c r="C159" i="7" s="1"/>
  <c r="E110" i="6"/>
  <c r="E172" i="6" l="1"/>
  <c r="E612" i="6"/>
  <c r="E252" i="6"/>
  <c r="F613" i="6" s="1"/>
  <c r="E157" i="6"/>
  <c r="E195" i="6"/>
  <c r="E168" i="6"/>
  <c r="F157" i="6"/>
  <c r="F168" i="6"/>
  <c r="E8" i="17"/>
  <c r="C8" i="8"/>
  <c r="F225" i="6"/>
  <c r="E194" i="6"/>
  <c r="E196" i="6" s="1"/>
  <c r="F38" i="13"/>
  <c r="E175" i="6"/>
  <c r="F181" i="6"/>
  <c r="F191" i="6" s="1"/>
  <c r="F175" i="6"/>
  <c r="E173" i="6" l="1"/>
  <c r="E38" i="13" s="1"/>
  <c r="C186" i="7"/>
  <c r="C183" i="7"/>
  <c r="C181" i="7"/>
  <c r="C175" i="7"/>
  <c r="C173" i="7"/>
  <c r="C176" i="7"/>
  <c r="C182" i="7"/>
  <c r="C172" i="7"/>
  <c r="C184" i="7"/>
  <c r="C171" i="7"/>
  <c r="C174" i="7"/>
  <c r="C185" i="7"/>
  <c r="C170" i="7"/>
  <c r="F8" i="17"/>
  <c r="E10" i="17"/>
  <c r="F10" i="17" s="1"/>
  <c r="C12" i="8"/>
  <c r="E12" i="8" s="1"/>
  <c r="E197" i="6"/>
  <c r="E198" i="6" s="1"/>
  <c r="C187" i="7" l="1"/>
  <c r="E225" i="6"/>
  <c r="E227" i="6"/>
  <c r="C177" i="7"/>
  <c r="F16" i="8"/>
  <c r="F17" i="8" s="1"/>
  <c r="G16" i="8"/>
  <c r="G17" i="8" s="1"/>
  <c r="F19" i="8" l="1"/>
  <c r="F18" i="8"/>
  <c r="F20" i="8" s="1"/>
  <c r="C161" i="7"/>
  <c r="C162" i="7" s="1"/>
  <c r="F179" i="6" s="1"/>
  <c r="F222" i="6" s="1"/>
  <c r="F227" i="6" s="1"/>
  <c r="F232" i="6" s="1"/>
  <c r="F236" i="6" s="1"/>
  <c r="E228" i="6"/>
  <c r="E40" i="13"/>
  <c r="E232" i="6"/>
  <c r="E236" i="6" s="1"/>
  <c r="G18" i="8"/>
  <c r="F52" i="8"/>
  <c r="F53" i="8"/>
  <c r="E237" i="6" l="1"/>
  <c r="E41" i="13"/>
  <c r="F226" i="6"/>
  <c r="F39" i="13"/>
  <c r="F40" i="13"/>
  <c r="C36" i="8"/>
  <c r="F41" i="13"/>
  <c r="F21" i="8" l="1"/>
  <c r="E12" i="17" s="1"/>
  <c r="E13" i="17" s="1"/>
  <c r="F237" i="6"/>
  <c r="C38" i="8"/>
  <c r="F49" i="8" l="1"/>
  <c r="K49" i="8" s="1"/>
  <c r="F48" i="8"/>
  <c r="K48" i="8" s="1"/>
  <c r="I28" i="8"/>
  <c r="I27" i="8"/>
  <c r="F51" i="8"/>
  <c r="K51" i="8" s="1"/>
  <c r="D36" i="8"/>
  <c r="F50" i="8"/>
  <c r="K50" i="8" s="1"/>
  <c r="C39" i="8"/>
  <c r="C40" i="8" s="1"/>
  <c r="F47" i="8"/>
  <c r="K47" i="8" s="1"/>
  <c r="I26" i="8"/>
  <c r="E49" i="13"/>
  <c r="F12" i="17"/>
  <c r="D37" i="8"/>
  <c r="E14" i="17"/>
  <c r="F13" i="17"/>
  <c r="V116" i="7" s="1"/>
  <c r="H47" i="8" l="1"/>
  <c r="Q47" i="8" s="1"/>
  <c r="D38" i="8"/>
  <c r="H49" i="8"/>
  <c r="Q49" i="8" s="1"/>
  <c r="H48" i="8"/>
  <c r="Q48" i="8" s="1"/>
  <c r="I29" i="8"/>
  <c r="F59" i="8"/>
  <c r="H51" i="8"/>
  <c r="Q51" i="8" s="1"/>
  <c r="H50" i="8"/>
  <c r="M50" i="8" s="1"/>
  <c r="F14" i="17"/>
  <c r="E57" i="17"/>
  <c r="K59" i="8"/>
  <c r="B40" i="8"/>
  <c r="C41" i="8"/>
  <c r="M47" i="8" l="1"/>
  <c r="M48" i="8"/>
  <c r="M49" i="8"/>
  <c r="M51" i="8"/>
  <c r="H59" i="8"/>
  <c r="Q50" i="8"/>
  <c r="Q59" i="8" s="1"/>
  <c r="C42" i="8"/>
  <c r="X49" i="7"/>
  <c r="Y49" i="7" s="1"/>
  <c r="X61" i="7"/>
  <c r="Y61" i="7" s="1"/>
  <c r="F57" i="17"/>
  <c r="M59" i="8" l="1"/>
  <c r="L47" i="8"/>
  <c r="L49" i="8"/>
  <c r="N49" i="8" s="1"/>
  <c r="O49" i="8" s="1"/>
  <c r="L50" i="8"/>
  <c r="N50" i="8" s="1"/>
  <c r="O50" i="8" s="1"/>
  <c r="L48" i="8"/>
  <c r="N48" i="8" s="1"/>
  <c r="O48" i="8" s="1"/>
  <c r="L51" i="8"/>
  <c r="N51" i="8" s="1"/>
  <c r="O51" i="8" s="1"/>
  <c r="E334" i="7"/>
  <c r="U52" i="8"/>
  <c r="T51" i="8" l="1"/>
  <c r="R51" i="8"/>
  <c r="U51" i="8" s="1"/>
  <c r="S47" i="8"/>
  <c r="P47" i="8"/>
  <c r="R50" i="8"/>
  <c r="U50" i="8" s="1"/>
  <c r="T50" i="8"/>
  <c r="T49" i="8"/>
  <c r="N47" i="8"/>
  <c r="R48" i="8"/>
  <c r="U48" i="8" s="1"/>
  <c r="R49" i="8"/>
  <c r="U49" i="8" s="1"/>
  <c r="T48" i="8"/>
  <c r="X71" i="7"/>
  <c r="Y71" i="7" s="1"/>
  <c r="L59" i="8"/>
  <c r="U53" i="8"/>
  <c r="O47" i="8" l="1"/>
  <c r="O59" i="8" s="1"/>
  <c r="T47" i="8"/>
  <c r="T59" i="8" s="1"/>
  <c r="R47" i="8"/>
  <c r="R59" i="8" s="1"/>
  <c r="P59" i="8"/>
  <c r="N59" i="8"/>
  <c r="E239" i="6" s="1"/>
  <c r="G241" i="6" l="1"/>
  <c r="G56" i="16" s="1"/>
  <c r="E241" i="6"/>
  <c r="E56" i="16" s="1"/>
  <c r="E240" i="6"/>
  <c r="E57" i="16" s="1"/>
  <c r="G239" i="6"/>
  <c r="X72" i="7"/>
  <c r="U47" i="8"/>
  <c r="E58" i="16"/>
  <c r="F63" i="16" l="1"/>
  <c r="X73" i="7"/>
  <c r="Y72" i="7"/>
  <c r="G58" i="16"/>
  <c r="H45" i="13"/>
  <c r="F47" i="13"/>
  <c r="F46" i="13"/>
  <c r="H47" i="13"/>
  <c r="F45" i="13"/>
  <c r="E242" i="6"/>
  <c r="E246" i="6" s="1"/>
  <c r="F48" i="13" l="1"/>
  <c r="S59" i="8" l="1"/>
  <c r="G240" i="6" s="1"/>
  <c r="E53" i="17" l="1"/>
  <c r="F53" i="17" s="1"/>
  <c r="G57" i="16" l="1"/>
  <c r="H63" i="16" s="1"/>
  <c r="G242" i="6"/>
  <c r="G246" i="6" s="1"/>
  <c r="H46" i="13"/>
  <c r="H48" i="13" s="1"/>
  <c r="G247" i="6" l="1"/>
  <c r="E247" i="6"/>
  <c r="E257" i="7"/>
  <c r="C253" i="6"/>
  <c r="E605" i="6"/>
  <c r="E253" i="6"/>
  <c r="F262" i="7" l="1"/>
  <c r="W7" i="7"/>
  <c r="G28" i="16" s="1"/>
  <c r="E293" i="7"/>
  <c r="F607" i="6"/>
  <c r="F610" i="6"/>
  <c r="F614" i="6" s="1"/>
  <c r="F312" i="7" l="1"/>
  <c r="F315" i="7" s="1"/>
  <c r="E318" i="7" s="1"/>
  <c r="F320" i="7" s="1"/>
  <c r="F323" i="7" s="1"/>
  <c r="E264" i="7"/>
  <c r="C267" i="7"/>
  <c r="F263" i="7"/>
  <c r="W9" i="7"/>
  <c r="G30" i="16" s="1"/>
  <c r="V9" i="7"/>
  <c r="E30" i="16" s="1"/>
  <c r="E620" i="6"/>
  <c r="F615" i="6"/>
  <c r="E267" i="7" l="1"/>
  <c r="F268" i="7" s="1"/>
  <c r="C616" i="6"/>
  <c r="F616" i="6"/>
  <c r="F269" i="7" l="1"/>
  <c r="C273" i="7"/>
  <c r="E273" i="7" s="1"/>
  <c r="E270" i="7"/>
  <c r="F276" i="7" l="1"/>
  <c r="F279" i="7" s="1"/>
  <c r="E282" i="7" s="1"/>
  <c r="F284" i="7" s="1"/>
  <c r="F287" i="7" s="1"/>
  <c r="E255" i="6" s="1"/>
  <c r="F52" i="13" s="1"/>
  <c r="Y73" i="7"/>
  <c r="E254" i="6" l="1"/>
  <c r="E52" i="13" s="1"/>
  <c r="F51" i="17"/>
  <c r="E51" i="17" l="1"/>
  <c r="X40" i="7" l="1"/>
  <c r="Y40" i="7" s="1"/>
  <c r="X38" i="7"/>
  <c r="X39" i="7"/>
  <c r="Y39" i="7" s="1"/>
  <c r="X41" i="7"/>
  <c r="Y41" i="7" s="1"/>
  <c r="W10" i="7"/>
  <c r="G31" i="16" s="1"/>
  <c r="V10" i="7"/>
  <c r="E31" i="16" s="1"/>
  <c r="X17" i="7"/>
  <c r="Y17" i="7" s="1"/>
  <c r="X18" i="7"/>
  <c r="Y18" i="7" s="1"/>
  <c r="X15" i="7"/>
  <c r="Y15" i="7" s="1"/>
  <c r="X16" i="7" l="1"/>
  <c r="Y16" i="7" s="1"/>
  <c r="Y38" i="7"/>
  <c r="Y42" i="7" s="1"/>
  <c r="X42" i="7"/>
  <c r="V8" i="7"/>
  <c r="E29" i="16" s="1"/>
  <c r="V19" i="7"/>
  <c r="V7" i="7"/>
  <c r="E28" i="16" s="1"/>
  <c r="E32" i="16" l="1"/>
  <c r="V11" i="7"/>
  <c r="W8" i="7"/>
  <c r="W19" i="7"/>
  <c r="E35" i="16" l="1"/>
  <c r="F45" i="16" s="1"/>
  <c r="E48" i="16" s="1"/>
  <c r="W11" i="7"/>
  <c r="G29" i="16"/>
  <c r="G32" i="16" s="1"/>
  <c r="F50" i="16" l="1"/>
  <c r="F65" i="16" s="1"/>
  <c r="G35" i="16"/>
  <c r="H45" i="16" s="1"/>
  <c r="G48" i="16" s="1"/>
  <c r="X19" i="7"/>
  <c r="F14" i="16" l="1"/>
  <c r="H50" i="16"/>
  <c r="H65" i="16" l="1"/>
  <c r="Y19" i="7"/>
  <c r="H14" i="16" l="1"/>
  <c r="I65" i="16"/>
  <c r="I14" i="16" l="1"/>
  <c r="G54" i="13" l="1"/>
  <c r="E330" i="7"/>
  <c r="V119" i="7" l="1"/>
  <c r="F335" i="7"/>
  <c r="V118" i="7" l="1"/>
  <c r="V121" i="7" s="1"/>
  <c r="V128" i="7"/>
  <c r="V127" i="7"/>
  <c r="E337" i="7"/>
  <c r="C340" i="7"/>
  <c r="F336" i="7"/>
  <c r="V130" i="7" l="1"/>
  <c r="F36" i="17" s="1"/>
  <c r="E340" i="7"/>
  <c r="F341" i="7" s="1"/>
  <c r="E343" i="7" s="1"/>
  <c r="E36" i="17" l="1"/>
  <c r="F42" i="17"/>
  <c r="F342" i="7"/>
  <c r="C346" i="7"/>
  <c r="E346" i="7" s="1"/>
  <c r="F349" i="7" s="1"/>
  <c r="F352" i="7" s="1"/>
  <c r="E355" i="7" s="1"/>
  <c r="F357" i="7" s="1"/>
  <c r="F43" i="17" l="1"/>
  <c r="E42" i="17"/>
  <c r="F360" i="7"/>
  <c r="F44" i="17" l="1"/>
  <c r="E43" i="17"/>
  <c r="F361" i="7"/>
  <c r="F362" i="7" s="1"/>
  <c r="J14" i="16" s="1"/>
  <c r="E44" i="17" l="1"/>
  <c r="F52" i="17"/>
  <c r="F54" i="17" s="1"/>
  <c r="E54" i="17" l="1"/>
  <c r="F58" i="17"/>
  <c r="E58" i="17" l="1"/>
  <c r="E59" i="17" s="1"/>
  <c r="F59" i="17"/>
  <c r="X4" i="7" s="1"/>
  <c r="X27" i="7" l="1"/>
  <c r="X26" i="7"/>
  <c r="X25" i="7"/>
  <c r="X28" i="7"/>
  <c r="Y28" i="7" l="1"/>
  <c r="Y10" i="7" s="1"/>
  <c r="X10" i="7"/>
  <c r="X29" i="7"/>
  <c r="Y25" i="7"/>
  <c r="X7" i="7"/>
  <c r="Y26" i="7"/>
  <c r="Y8" i="7" s="1"/>
  <c r="X8" i="7"/>
  <c r="Y27" i="7"/>
  <c r="Y9" i="7" s="1"/>
  <c r="X9" i="7"/>
  <c r="X11" i="7" l="1"/>
  <c r="Y29" i="7"/>
  <c r="Y7" i="7"/>
  <c r="Y11" i="7" s="1"/>
  <c r="F60" i="17" s="1"/>
  <c r="F61" i="17" l="1"/>
  <c r="E61" i="17" s="1"/>
  <c r="E60" i="17"/>
  <c r="F62" i="17" l="1"/>
  <c r="E62" i="17"/>
  <c r="E63" i="17"/>
  <c r="F64" i="17"/>
  <c r="F53" i="13" s="1"/>
  <c r="E64" i="17" l="1"/>
  <c r="E53"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A.J. Snijder Sr.</author>
  </authors>
  <commentList>
    <comment ref="B19" authorId="0" shapeId="0" xr:uid="{00000000-0006-0000-0000-000001000000}">
      <text>
        <r>
          <rPr>
            <sz val="9"/>
            <color indexed="81"/>
            <rFont val="Tahoma"/>
            <family val="2"/>
          </rPr>
          <t>Voor kinderalimentatie blijft NBI ten tijde van relatie gelden, tenzij één ouder nu meer verdiend.</t>
        </r>
      </text>
    </comment>
    <comment ref="C31" authorId="0" shapeId="0" xr:uid="{00000000-0006-0000-0000-000002000000}">
      <text>
        <r>
          <rPr>
            <sz val="9"/>
            <color indexed="81"/>
            <rFont val="Tahoma"/>
            <family val="2"/>
          </rPr>
          <t>Vul het % vakantietoeslag in, 8% is normaal gebruikelijk</t>
        </r>
      </text>
    </comment>
    <comment ref="E31" authorId="0" shapeId="0" xr:uid="{00000000-0006-0000-0000-000003000000}">
      <text>
        <r>
          <rPr>
            <sz val="9"/>
            <color indexed="81"/>
            <rFont val="Tahoma"/>
            <family val="2"/>
          </rPr>
          <t>Vul het % vakantietoeslag in, 8% is normaal gebruikelijk</t>
        </r>
      </text>
    </comment>
    <comment ref="C34" authorId="0" shapeId="0" xr:uid="{00000000-0006-0000-0000-000004000000}">
      <text>
        <r>
          <rPr>
            <sz val="9"/>
            <color indexed="81"/>
            <rFont val="Tahoma"/>
            <family val="2"/>
          </rPr>
          <t>Vul het percentage van de eindejaarsuitkering in</t>
        </r>
      </text>
    </comment>
    <comment ref="E34" authorId="0" shapeId="0" xr:uid="{00000000-0006-0000-0000-000005000000}">
      <text>
        <r>
          <rPr>
            <sz val="9"/>
            <color indexed="81"/>
            <rFont val="Tahoma"/>
            <family val="2"/>
          </rPr>
          <t>Vul het percentage van de eindejaarsuitkering in</t>
        </r>
      </text>
    </comment>
    <comment ref="C60" authorId="0" shapeId="0" xr:uid="{00000000-0006-0000-0000-000009000000}">
      <text>
        <r>
          <rPr>
            <sz val="9"/>
            <color indexed="81"/>
            <rFont val="Tahoma"/>
            <family val="2"/>
          </rPr>
          <t>De premie per jaar kan het best worden benaderd door het per maand/4 weken te vermenigvuldigen met 12 of 13</t>
        </r>
      </text>
    </comment>
    <comment ref="B74" authorId="0" shapeId="0" xr:uid="{00000000-0006-0000-0000-000007000000}">
      <text>
        <r>
          <rPr>
            <b/>
            <sz val="9"/>
            <color indexed="81"/>
            <rFont val="Tahoma"/>
            <family val="2"/>
          </rPr>
          <t>Betreft hier aanvullende, collectief door de werkgeven ingehouden WAO/WIA-gat premie (zoals AP/AOP)</t>
        </r>
      </text>
    </comment>
    <comment ref="F199" authorId="0" shapeId="0" xr:uid="{00000000-0006-0000-0000-00000A000000}">
      <text>
        <r>
          <rPr>
            <sz val="9"/>
            <color indexed="81"/>
            <rFont val="Tahoma"/>
            <family val="2"/>
          </rPr>
          <t>Bijv. extra ZKV premie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A.J. Snijder Sr.</author>
  </authors>
  <commentList>
    <comment ref="F80" authorId="0" shapeId="0" xr:uid="{00000000-0006-0000-0100-000001000000}">
      <text>
        <r>
          <rPr>
            <b/>
            <sz val="9"/>
            <color indexed="81"/>
            <rFont val="Tahoma"/>
            <family val="2"/>
          </rPr>
          <t>Deze 3 posten blijven buiten beschouwing bij vaststelling van kinderalimentatie o.b.v. draagkrachttabel</t>
        </r>
      </text>
    </comment>
    <comment ref="H80" authorId="0" shapeId="0" xr:uid="{00000000-0006-0000-0100-000002000000}">
      <text>
        <r>
          <rPr>
            <b/>
            <sz val="9"/>
            <color indexed="81"/>
            <rFont val="Tahoma"/>
            <family val="2"/>
          </rPr>
          <t>Deze 3 posten blijven buiten beschouwing bij vaststelling van kinderalimentatie o.b.v. draagkrachttabel</t>
        </r>
      </text>
    </comment>
    <comment ref="F104" authorId="0" shapeId="0" xr:uid="{00000000-0006-0000-0100-000003000000}">
      <text>
        <r>
          <rPr>
            <b/>
            <sz val="9"/>
            <color indexed="81"/>
            <rFont val="Tahoma"/>
            <family val="2"/>
          </rPr>
          <t>Gezuiverd van invloed Eigen Woning</t>
        </r>
      </text>
    </comment>
    <comment ref="H104" authorId="0" shapeId="0" xr:uid="{00000000-0006-0000-0100-000004000000}">
      <text>
        <r>
          <rPr>
            <b/>
            <sz val="9"/>
            <color indexed="81"/>
            <rFont val="Tahoma"/>
            <family val="2"/>
          </rPr>
          <t>Gezuiverd van invloed Eigen Woning</t>
        </r>
      </text>
    </comment>
  </commentList>
</comments>
</file>

<file path=xl/sharedStrings.xml><?xml version="1.0" encoding="utf-8"?>
<sst xmlns="http://schemas.openxmlformats.org/spreadsheetml/2006/main" count="1739" uniqueCount="956">
  <si>
    <t>Maximaal</t>
  </si>
  <si>
    <t>Jaarloon</t>
  </si>
  <si>
    <t>Bruto jaarloon</t>
  </si>
  <si>
    <t>Alimentatie</t>
  </si>
  <si>
    <t>Kinderalimentatie</t>
  </si>
  <si>
    <t>Werknemersaftrek</t>
  </si>
  <si>
    <t>Fietsaftrek (vervallen)</t>
  </si>
  <si>
    <t>Zeedagenaftrek (vervallen)</t>
  </si>
  <si>
    <t>Nr</t>
  </si>
  <si>
    <t>Winst uit onderneming</t>
  </si>
  <si>
    <t>Te verwachten beschikbare winst</t>
  </si>
  <si>
    <t>Aftrekbeperkingen</t>
  </si>
  <si>
    <t>Investeringsaftrek</t>
  </si>
  <si>
    <t>Scholingsaftrek (vervallen)</t>
  </si>
  <si>
    <t>Fiscale oudedagreserve</t>
  </si>
  <si>
    <t>Ondernemersaftrek</t>
  </si>
  <si>
    <t>Belastbaar loon:</t>
  </si>
  <si>
    <t>Winst uit onderneming:</t>
  </si>
  <si>
    <t>Speur- en Ontwikkelingswerkaftrek</t>
  </si>
  <si>
    <t>Meewerkaftrek</t>
  </si>
  <si>
    <t>Belastbare winst uit onderneming:</t>
  </si>
  <si>
    <t>A</t>
  </si>
  <si>
    <t>Resultaat uit overige werkzaamheden</t>
  </si>
  <si>
    <t>Belastbaar resultaat uit overige werkzaamheden:</t>
  </si>
  <si>
    <t>Periodieke uitkeringen en verstrekkingen</t>
  </si>
  <si>
    <t>Aftrekbare kosten (vervallen)</t>
  </si>
  <si>
    <t>Belastbare periodieke uitkeringen en verstrekkingen:</t>
  </si>
  <si>
    <t>Belastbaar inkomen uit eigen woning:</t>
  </si>
  <si>
    <t>Premies voor lijfrenten</t>
  </si>
  <si>
    <t>Premies voor uitkering bij invaliditeit, ziekte of ongeval</t>
  </si>
  <si>
    <t>Premies WAZ (vervallen)</t>
  </si>
  <si>
    <t>Uitgaven voor inkomensvoorziening:</t>
  </si>
  <si>
    <t>Uitgaven voor kinderopvang:</t>
  </si>
  <si>
    <t>Persoonsgebonden aftrek:</t>
  </si>
  <si>
    <t>Inkomensheffing Box 1:</t>
  </si>
  <si>
    <t>BOX II: Inkomen uit aanmerkelijk belang</t>
  </si>
  <si>
    <t>BOX III: Inkomen uit sparen en beleggen</t>
  </si>
  <si>
    <t>Reguliere voordelen (met name divident)</t>
  </si>
  <si>
    <t>Vervreemdingsvoordelen (vervallen)</t>
  </si>
  <si>
    <t>Werkelijke of in redelijkheid te verwerven inkomsten (na aftrek van kosten) uit:</t>
  </si>
  <si>
    <t>a. (rechten op) onroerende zaken</t>
  </si>
  <si>
    <t>b. (rechten op) bepaalde roerende zaken</t>
  </si>
  <si>
    <t>c. rechten op geld (en overige vermogensrechten)</t>
  </si>
  <si>
    <t>d. rente en kosten van schulden</t>
  </si>
  <si>
    <t>Rendemenstgrondslag</t>
  </si>
  <si>
    <t>Waarde aan het begin van het jaar van:</t>
  </si>
  <si>
    <t>a. onroerende zaken</t>
  </si>
  <si>
    <t>b. (bepaalde) roerende zaken</t>
  </si>
  <si>
    <t>Persoonsgebonden aftrek (het niet in box I benutte deel)</t>
  </si>
  <si>
    <t>Heffingskorting</t>
  </si>
  <si>
    <t>- inkomensonafhankelijke combinatiekorting</t>
  </si>
  <si>
    <t>- ouderenkorting</t>
  </si>
  <si>
    <t>Onbelast deel waarde vakantiebonnen</t>
  </si>
  <si>
    <t>119a</t>
  </si>
  <si>
    <t>119b</t>
  </si>
  <si>
    <t>Netto uitgaven pensioenvoorziening (vrijgesteld in box III)</t>
  </si>
  <si>
    <t>Besteedbaar inkomen per jaar, na aftrek van de verschuldigde inkomensafhankelijke bijdrage ZVW en premie netto persioensparen (57)</t>
  </si>
  <si>
    <t>Woonlasten</t>
  </si>
  <si>
    <t>- hypotheekrente</t>
  </si>
  <si>
    <t>Lasten</t>
  </si>
  <si>
    <t>- Erfpachtcanon</t>
  </si>
  <si>
    <t>- Forfait overige eigenaarslasten (opstalverzekering, aanslag OZB, Polder- en Waterschapslasten, Onderhoud)</t>
  </si>
  <si>
    <t>a. nominale premie ZVW</t>
  </si>
  <si>
    <t>b. premie aanvullende ZKV</t>
  </si>
  <si>
    <t>c. verplicht eigen risico E 385,-/jaar indien gerealiseerd en/of aannemelijk gemaakt</t>
  </si>
  <si>
    <t>d. door werkgever/uitkeringsinstantie afgedragen inkomensafhankelijke bijdrage ZVW (vervallen)</t>
  </si>
  <si>
    <t>e. op aanslag zelf betaalde inkomensafhankelijke bijdrage ZVW (vervallen)</t>
  </si>
  <si>
    <t>Af: In bijstandsnorm begrepen nominaal deel premie ZVW</t>
  </si>
  <si>
    <t>f. zelf betaalde, niet vergoede medische kosten</t>
  </si>
  <si>
    <t>Zorgtoeslag</t>
  </si>
  <si>
    <t>Kosten kinderopvang</t>
  </si>
  <si>
    <t>Premie begrafenisverzekering (vervallen)</t>
  </si>
  <si>
    <t>Kosten omgangsregeling</t>
  </si>
  <si>
    <t>Andere bijzondere kosten</t>
  </si>
  <si>
    <t>Werkelijke verwervingskosten</t>
  </si>
  <si>
    <t>Studiekosten</t>
  </si>
  <si>
    <t>Aflossing schulden</t>
  </si>
  <si>
    <t>Herinrichtingskosten</t>
  </si>
  <si>
    <t>Overige kosten</t>
  </si>
  <si>
    <t>Draagkrachtruimte</t>
  </si>
  <si>
    <t xml:space="preserve">Alimentatieverplichting (eerdere) ex-partner </t>
  </si>
  <si>
    <t>Voordeel i.v.m. uitgaven voor levensonderhoud van kinderen (vervallen)</t>
  </si>
  <si>
    <t>Per maand</t>
  </si>
  <si>
    <t>Bruto methode</t>
  </si>
  <si>
    <t>Totaal</t>
  </si>
  <si>
    <t>Periodieke betalingen van erfpacht e.d.</t>
  </si>
  <si>
    <t>- huurtoeslag</t>
  </si>
  <si>
    <t>Draagkracht</t>
  </si>
  <si>
    <t>Totale woonlasten:</t>
  </si>
  <si>
    <t>Vakantietoeslag (8%)</t>
  </si>
  <si>
    <t>13e maand / 14e periodiek</t>
  </si>
  <si>
    <t>Bruto arbeidsinkomen uit dienstbetrekking</t>
  </si>
  <si>
    <t>Bruto uitkering andere sociale verzekeringswetten</t>
  </si>
  <si>
    <t>Bruto arbeidsinkomen bouw inclusief belast deel waarde vakantiebonnen, 46 weken (zie 118 belast deel)</t>
  </si>
  <si>
    <t>Belaste gratificaties, tantiemes, eindejaarsuitkering</t>
  </si>
  <si>
    <t>Belaste onkostenvergoeding</t>
  </si>
  <si>
    <t>Bruto pensioen (vakantietoeslag niet altijd inbegrepen)</t>
  </si>
  <si>
    <t>Ingehouden pensioenpremie</t>
  </si>
  <si>
    <t>VUT / FPU-premie e.d.</t>
  </si>
  <si>
    <t>Premie WW</t>
  </si>
  <si>
    <t>Premie arbeidsongeschiktheidsverzekering i.v.m. reparatie WAO/WIA-gat (collectieve regeling, premie ingehouden door werkgever)</t>
  </si>
  <si>
    <t>Aanvullende pensioenpremie / premie reparatie WAO/WIA gat (ingehouden door werkgever)</t>
  </si>
  <si>
    <t>Premie Zorgverzekeringswet</t>
  </si>
  <si>
    <t>(Op aanslag betaalde) inkomensafhankelijke bijdrage ZVW</t>
  </si>
  <si>
    <t>Belaste bijdrage in ziektekosten</t>
  </si>
  <si>
    <t>Inkomen voor aftrek inkomensheffing (59/60, 65, 76, 79, 98, 102)</t>
  </si>
  <si>
    <t>Niet hoger dan</t>
  </si>
  <si>
    <t>-</t>
  </si>
  <si>
    <t>€ 0</t>
  </si>
  <si>
    <t>NA</t>
  </si>
  <si>
    <t>Omschrijving</t>
  </si>
  <si>
    <t>Bruto salaris</t>
  </si>
  <si>
    <t>(Vaste) toelage</t>
  </si>
  <si>
    <t>+</t>
  </si>
  <si>
    <t>Premies werknemersverzekeringen (NB Premie-inkomensgrens)</t>
  </si>
  <si>
    <t>Alternatief</t>
  </si>
  <si>
    <t>(a)</t>
  </si>
  <si>
    <t>Eigen woning forfait (o.b.v. WOZ waarde 2018, 0,70% bij waarde tussen de € 75.000 en € 1.050.000)</t>
  </si>
  <si>
    <t>Begin</t>
  </si>
  <si>
    <t>Eind</t>
  </si>
  <si>
    <t>Percentage</t>
  </si>
  <si>
    <t>(b)</t>
  </si>
  <si>
    <t>(d)</t>
  </si>
  <si>
    <t xml:space="preserve">(e) </t>
  </si>
  <si>
    <t xml:space="preserve">(c) </t>
  </si>
  <si>
    <t>(f)</t>
  </si>
  <si>
    <t>(g)</t>
  </si>
  <si>
    <t>(h)</t>
  </si>
  <si>
    <t>Belastingvoordeel hypotheek/maand:</t>
  </si>
  <si>
    <t>- hyptheekaflossing / premie levensverzekering</t>
  </si>
  <si>
    <t>Verblijfskosten kinderen (Zorgkorting)</t>
  </si>
  <si>
    <t>Eigen aandeel kosten kinderen</t>
  </si>
  <si>
    <t>Tabel voor 1 kind (netto gezinsinkomen per maand in Euro’s)</t>
  </si>
  <si>
    <t>Tabel voor 2 kinderen (netto gezinsinkomen per maand in Euro’s)</t>
  </si>
  <si>
    <t>Tabel 1: Punten per kind</t>
  </si>
  <si>
    <t>Leeftijd kind</t>
  </si>
  <si>
    <t>0 t/m 5</t>
  </si>
  <si>
    <t>6 t/m 11</t>
  </si>
  <si>
    <t>12 t/m 17</t>
  </si>
  <si>
    <t>Punten</t>
  </si>
  <si>
    <t>Totalen</t>
  </si>
  <si>
    <t xml:space="preserve"> Punten </t>
  </si>
  <si>
    <r>
      <t xml:space="preserve"> </t>
    </r>
    <r>
      <rPr>
        <b/>
        <sz val="11"/>
        <color rgb="FF000000"/>
        <rFont val="Calibri"/>
        <family val="2"/>
        <scheme val="minor"/>
      </rPr>
      <t xml:space="preserve">Punten </t>
    </r>
  </si>
  <si>
    <t xml:space="preserve">Punten </t>
  </si>
  <si>
    <t>Tabel voor 3 kinderen (netto gezinsinkomen per maand in Euro’s)</t>
  </si>
  <si>
    <t>Tabel voor 4 kinderen (netto gezinsinkomen per maand in Euro’s)</t>
  </si>
  <si>
    <t>Algemene gegevens</t>
  </si>
  <si>
    <t>Naam</t>
  </si>
  <si>
    <t>Loon per:</t>
  </si>
  <si>
    <t>Soort loon</t>
  </si>
  <si>
    <t>Maand</t>
  </si>
  <si>
    <t>4 Weken</t>
  </si>
  <si>
    <t>Anders</t>
  </si>
  <si>
    <t>Totaal per jaar</t>
  </si>
  <si>
    <t>Koopwoning</t>
  </si>
  <si>
    <t>WOZ-waarde
meer dan</t>
  </si>
  <si>
    <t>WOZ-waarde
niet meer dan</t>
  </si>
  <si>
    <t>Bedrag forfait</t>
  </si>
  <si>
    <t>Plus vast bedrag</t>
  </si>
  <si>
    <t>Eigenwoning- forfait</t>
  </si>
  <si>
    <t>Onderdeel</t>
  </si>
  <si>
    <t>WOZ waarde eigen woning</t>
  </si>
  <si>
    <t>Geboortedatum</t>
  </si>
  <si>
    <t>Ja / Nee</t>
  </si>
  <si>
    <t>Ja</t>
  </si>
  <si>
    <t>Nee</t>
  </si>
  <si>
    <t>https://www.belastingdienst.nl/wps/wcm/connect/bldcontentnl/belastingdienst/prive/inkomstenbelasting/heffingskortingen_boxen_tarieven/boxen_en_tarieven/overzicht_tarieven_en_schijven/</t>
  </si>
  <si>
    <t>https://www.belastingdienst.nl/wps/wcm/connect/nl/koopwoning/content/hoe-werkt-eigenwoningforfait</t>
  </si>
  <si>
    <t>Gevonden kosten</t>
  </si>
  <si>
    <t>Netto Besteedbaar Inkomen (NBI) tijdens huwelijk / samenwonen</t>
  </si>
  <si>
    <t>Samengevoegd</t>
  </si>
  <si>
    <t>Stap 1: NBI minus laagste inkomensgrens:</t>
  </si>
  <si>
    <t>Bij een Netto Besteedbaar Inkomen van:</t>
  </si>
  <si>
    <t>Stap 2: Hoogste inkomensgrens - laagste:</t>
  </si>
  <si>
    <t>Stap 3: (Stap 1 : Stap 2) * (Max. - Min.):</t>
  </si>
  <si>
    <t>Kinderalimentatie - Berekening Eigen aandeel conform NIBUD tabel</t>
  </si>
  <si>
    <t>Bijstandsnorm jongeren:</t>
  </si>
  <si>
    <t>A. jonger dan 21 jaar zonder kinderen:</t>
  </si>
  <si>
    <t>alleenstaande van 18, 19 of 20 jaar</t>
  </si>
  <si>
    <t>gehuwd, beide echtgenoten 18, 19 of 20 jaar</t>
  </si>
  <si>
    <t>gehuwden, een echtgenoot 18, 19 of 20 jaar, de andere 21 jaar of ouder</t>
  </si>
  <si>
    <t>B. jonger dan 21 jaar met een of meer kinderen:</t>
  </si>
  <si>
    <t>alleenstaande ouder van 18, 19 of 20 jaar</t>
  </si>
  <si>
    <t>gehuwden, beide echtgenoten 18, 19 of 20 jaar</t>
  </si>
  <si>
    <t>gehuwden, een echtgenoot 18, 19 of 20 jaar is en de andere 21 jaar of ouder</t>
  </si>
  <si>
    <t>Bijstandsnorm 21 jaar tot pensioengerechtigde leeftijd:</t>
  </si>
  <si>
    <t>een alleenstaande</t>
  </si>
  <si>
    <t>een alleenstaande ouder</t>
  </si>
  <si>
    <t>gehuwden, beide echtgenoten jonger dan de pensioengerechtigde leeftijd</t>
  </si>
  <si>
    <t>Bijstandsnorm pensioengerechtigden:</t>
  </si>
  <si>
    <t>een alleenstaande:</t>
  </si>
  <si>
    <t>gehuwden, beide echtgenoten met pensioengerechtigde leeftijd</t>
  </si>
  <si>
    <t>gehuwden, een echtgenoot met de pensioengerechtigde leeftijd en de andere echtgenoot 21 jaar of ouder, maar nog niet pensioengerechtigd</t>
  </si>
  <si>
    <t>Bijstand voor wie:</t>
  </si>
  <si>
    <t>https://www.socialedienstdrechtsteden.nl/bijstand/ik-heb-een-uitkering/hoe-hoog-is-een-bijstandsuitkering</t>
  </si>
  <si>
    <t>Vak.geld</t>
  </si>
  <si>
    <t>https://www.belastingdienst.nl/wps/wcm/connect/bldcontentnl/belastingdienst/prive/inkomstenbelasting/heffingskortingen_boxen_tarieven/heffingskortingen/totaaloverzicht/overzicht-heffingskortingen-2019</t>
  </si>
  <si>
    <t>Hoger dan</t>
  </si>
  <si>
    <t>Vast bedrag</t>
  </si>
  <si>
    <t>Totalen:</t>
  </si>
  <si>
    <t>€ 170 + 28,712% x (arbeidsinkomen - € 9.694)</t>
  </si>
  <si>
    <t>€ 3.399</t>
  </si>
  <si>
    <t>€ 3.399 - 6% x (arbeidsinkomen - € 34.060)</t>
  </si>
  <si>
    <t>Formules</t>
  </si>
  <si>
    <t>- arbeidskorting</t>
  </si>
  <si>
    <t>- algemene heffingskorting</t>
  </si>
  <si>
    <t>Rendementsgrondslag</t>
  </si>
  <si>
    <t>https://www.belastingdienst.nl/wps/wcm/connect/bldcontentnl/belastingdienst/prive/inkomstenbelasting/heffingskortingen_boxen_tarieven/heffingskortingen/inkomensafhankelijke_combikorting/inkomensafhankelijke-combinatiekorting-2019</t>
  </si>
  <si>
    <t>Geen</t>
  </si>
  <si>
    <t>11,450% x (arbeidsinkomen - € 4.993)</t>
  </si>
  <si>
    <t>€ 2.825</t>
  </si>
  <si>
    <t>Punten totaal</t>
  </si>
  <si>
    <t>1) U hebt een kind dat geboren is ná 31 december 2006.</t>
  </si>
  <si>
    <t>2) Dit kind staat in 2019 ten minste 6 maanden ingeschreven op uw woonadres.</t>
  </si>
  <si>
    <t xml:space="preserve">    Uw kind woont ten minste 3 dagen per week bij u én ten minste 3 dagen per week bij uw ex. </t>
  </si>
  <si>
    <t xml:space="preserve">    Uw kind woont om en om 1 week bij u en 1 week bij uw ex.</t>
  </si>
  <si>
    <t>3) U werkt en uw inkomen uit werk is in 2019 hoger dan € 4.993. Of u hebt als ondernemer recht op de zelfstandigenaftrek.</t>
  </si>
  <si>
    <t>4) U hebt geen fiscale partner of u hebt minder dan 6 maanden een fiscale partner.</t>
  </si>
  <si>
    <r>
      <t xml:space="preserve">    </t>
    </r>
    <r>
      <rPr>
        <u/>
        <sz val="10"/>
        <color rgb="FF000000"/>
        <rFont val="Verdana"/>
        <family val="2"/>
      </rPr>
      <t>U bent co-ouder in de volgende gevallen:</t>
    </r>
  </si>
  <si>
    <t>Wordt er voldaan aan de onderstaande voorwaarden?</t>
  </si>
  <si>
    <t>Zie ook: Aantal kids in tabblad "Behoeftetabel 2019"</t>
  </si>
  <si>
    <t>- alleenstaande ouderenkorting (AOW-ers)</t>
  </si>
  <si>
    <t>- andere kortingen (Jonggehandicapten, Levensloopverlof, Groene beleggingen)</t>
  </si>
  <si>
    <t>€ 1.596</t>
  </si>
  <si>
    <t>https://www.belastingdienst.nl/wps/wcm/connect/bldcontentnl/belastingdienst/prive/inkomstenbelasting/heffingskortingen_boxen_tarieven/heffingskortingen/heffingskortingen_voor_aow_gerechtigden</t>
  </si>
  <si>
    <t>€ 1.596-15% x (verzamelinkomen - € 36.783)</t>
  </si>
  <si>
    <t>U krijgt de alleenstaandeouderenkorting als u:</t>
  </si>
  <si>
    <t>In het jaar van aangifte geen of een gedeeltelijke AOW-uitkering voor een alleenstaande krijgt, omdat u vóór de AOW-leeftijd in het buitenland woonde</t>
  </si>
  <si>
    <t>of erkend gemoedsbezwaarde bent en daarom geen (volledig) recht op een AOW-uitkering hebt opgebouwd</t>
  </si>
  <si>
    <t>- werkbonus (= vervallen per 1-1-2018)</t>
  </si>
  <si>
    <t>Nominale premie ZVW</t>
  </si>
  <si>
    <t>Premie aanvullende ZKV</t>
  </si>
  <si>
    <t>(Eerdere) alimentatie gegevens:</t>
  </si>
  <si>
    <t>Waarde</t>
  </si>
  <si>
    <t>Inkomsten uit arbeid?</t>
  </si>
  <si>
    <t>Bijstandsuitkering?</t>
  </si>
  <si>
    <t>Bruto maandlast</t>
  </si>
  <si>
    <t>Kinderen &amp; hun (woonplek)</t>
  </si>
  <si>
    <t>Alleen invullen als er geen eerder scheidingsjaar is</t>
  </si>
  <si>
    <t>Jaar van scheiding (t.b.v. NBI K.A.)</t>
  </si>
  <si>
    <t>Bereken de pensioendatum op site SVB</t>
  </si>
  <si>
    <t>https://www.rijksoverheid.nl/onderwerpen/zorgverzekering/vraag-en-antwoord/eigen-risico-zorgverzekering</t>
  </si>
  <si>
    <t>Bruto AOW-uitkering (geen premies werknemersverzekeringen)</t>
  </si>
  <si>
    <t>Uitkering per</t>
  </si>
  <si>
    <t>Bruto WW, WAO/WIA of AOW uitkering</t>
  </si>
  <si>
    <t>Vakantietoeslag (wordt jaarlijk vastgesteld)</t>
  </si>
  <si>
    <t>Bruto uitkering</t>
  </si>
  <si>
    <t>Vakantietoeslag</t>
  </si>
  <si>
    <t>Bruto pensioen uitkering (50)</t>
  </si>
  <si>
    <t>Bruto pensioen uitkering</t>
  </si>
  <si>
    <t>Eventuele vakantietoeslag</t>
  </si>
  <si>
    <t>Extra betaalde premies / Inkomensvoorziening</t>
  </si>
  <si>
    <t>Een werkgeversbijdrage in de ziektekosten (anders dan bij 57) wordt normaal gezien als belast loon. De bijdrage dan hier invullen.</t>
  </si>
  <si>
    <t>Wordt berekend over het loon per werkdag, maar dan over niet meer dan het maximum dagloon na aftrek van een franchise.</t>
  </si>
  <si>
    <t>Premie collectieve aanvullende verzekering arbeidsongeschiktheid t.b.v. reparatie van het WAO/WIA gat. Premie staat op de loonstrook</t>
  </si>
  <si>
    <t>Betreft hier aanvullende, collectief door de werkgever ingehouden WAO/WIA-gat premie (zoals premie AP/AOP)</t>
  </si>
  <si>
    <t>(nr. 41 t/m 50) - (nr. 51 t/m 53)</t>
  </si>
  <si>
    <t>(nr. 41 t/m 50)</t>
  </si>
  <si>
    <t>Dit is een lastig vast te stellen post. Mag en kan men vrijwillig stoppen? Ook al tijdens de relatie? Bij schommelingen middelen!</t>
  </si>
  <si>
    <t>Zie salarisspecificatie, het belast zijn betekend nog niet dat het dus gaat om verkapt inkomen !!</t>
  </si>
  <si>
    <t>Andere bruto arbeidsinkomsten, dit is niet van toepassing voor incidentele of al in het bruto inkomen opgenomen posten!</t>
  </si>
  <si>
    <t>Bij een ZW-uitkering van het UWV blijft recht op de Arbeidskorting bestaan.</t>
  </si>
  <si>
    <t>Uitkering in het kader van WW-, WAO/WIA- en AOW-uitkering</t>
  </si>
  <si>
    <t>Uitkering in het kader van andere sociale verzekeringswetten (o.a. bijstand)</t>
  </si>
  <si>
    <t>Bruto pensioen uitkering (inclusief eventueel vakantiegeld)</t>
  </si>
  <si>
    <t>Ingehouden pensioenpremie op jaarbasis, zie de loonstroken</t>
  </si>
  <si>
    <t>(nr. 54) - (nr. 55 t/m 57) + nr.58</t>
  </si>
  <si>
    <t>Ziektekosten(verzekering)</t>
  </si>
  <si>
    <t>--</t>
  </si>
  <si>
    <r>
      <t xml:space="preserve">Alleen invullen als de bijdrage ZVW </t>
    </r>
    <r>
      <rPr>
        <b/>
        <u/>
        <sz val="11"/>
        <rFont val="Calibri"/>
        <family val="2"/>
        <scheme val="minor"/>
      </rPr>
      <t>op het loon</t>
    </r>
    <r>
      <rPr>
        <sz val="11"/>
        <rFont val="Calibri"/>
        <family val="2"/>
        <scheme val="minor"/>
      </rPr>
      <t xml:space="preserve"> van de onderhoudsplichtige wordt ingehouden. Als de werkgever/instantie deze bijdrage betaald (wordt dus niet ingehouden) 0 invullen.</t>
    </r>
  </si>
  <si>
    <t>Kosten o.b.v. OV-verklaring bij regelmatig woon-/werkverkeer en meer dan 10 km/dag, verminderd met een eventuele ontvangen vergoeding.</t>
  </si>
  <si>
    <t>(nr. 65 + 66) - (nr. 67 t/m 69)</t>
  </si>
  <si>
    <t>(nr. 70) - (nr. 71 t/m 74)</t>
  </si>
  <si>
    <t>O.a. ontvangen alimentie, termijnen lijfrente, pensioensverrekenings-/vereveningsuitkeringen, uitkeringen uit vrijwillige AOW/ANW verzekering</t>
  </si>
  <si>
    <t>Vul de benodigde gegevens in in het tabblad "Basisgegevens"</t>
  </si>
  <si>
    <t>Rente en kosten van (hypothecaire) schulden i.v.m. de eigen woning</t>
  </si>
  <si>
    <t>Aftrebare kosten tbv hypotheek/jaar (83)</t>
  </si>
  <si>
    <t>Verdeling van deze posten over:</t>
  </si>
  <si>
    <t>Totaalbedrag</t>
  </si>
  <si>
    <t>Premies voor lijfrente ter compensatie van een pensioentekort zijn in bepaalde omstandigheden aftrekbaar</t>
  </si>
  <si>
    <t>Deze premies zijn geheel aftrekbaar</t>
  </si>
  <si>
    <t>(nr.86 t/m 88)</t>
  </si>
  <si>
    <t>€ 133</t>
  </si>
  <si>
    <t>1,65% van het drempelinkomen</t>
  </si>
  <si>
    <t>€ 679 + 5,75% van het bedrag boven € 41.107</t>
  </si>
  <si>
    <t>Drempel specifieke zorgkosten 2019</t>
  </si>
  <si>
    <t>https://www.belastingdienst.nl/wps/wcm/connect/bldcontentnl/belastingdienst/prive/relatie_familie_en_gezondheid/gezondheid/aftrek_zorgkosten/hoe_berekent_u_uw_aftrek/drempelbedrag_berekenen/drempelbedrag-2019</t>
  </si>
  <si>
    <t xml:space="preserve"> (nr.64 + 75 + 78 + 81 + 85) - (nr. 89 + 90 + 93) </t>
  </si>
  <si>
    <t>(Post 99 telt NIET mee voor het drempelinkomen !!!)</t>
  </si>
  <si>
    <t>42: Bruto uitkering</t>
  </si>
  <si>
    <t>Reisaftrek (alleen bij regelmatig OV reizen  &gt; 10 km minus vergoeding)</t>
  </si>
  <si>
    <t>Let op de vaste drempel! Post wordt alleen geaccepteerd als de opleiding naar redelijke verwachting zal gaan leiden tot meer inkomen c.q. aantoonbaar noodzakelijk is, zie voor details https://www.belastingdienst.nl</t>
  </si>
  <si>
    <t>Let op de inkomensafhankelijke drempel! Zie voor details https://www.belastingdienst.nl</t>
  </si>
  <si>
    <t>Bereken deze op bijv. https://www.berekenhet.nl/werk-en-inkomen/kosten-kinderopvang.html</t>
  </si>
  <si>
    <t>Voor het juist bepalen van deze post is vaak gedegen kennis vereist</t>
  </si>
  <si>
    <t>(nr 102a t/m 102c) - (102d)</t>
  </si>
  <si>
    <t>Toeslagen (o.a. ouderentoeslag)</t>
  </si>
  <si>
    <t>Waarde aan het einde van het jaar van: (vervallen)</t>
  </si>
  <si>
    <t>(nr.105) - (nr. 106 t/m 107)</t>
  </si>
  <si>
    <t>https://www.belastingdienst.nl/wps/wcm/connect/bldcontentnl/belastingdienst/prive/vermogen_en_aanmerkelijk_belang/vermogen/belasting_betalen_over_uw_vermogen/grondslag_sparen_en_beleggen/berekening-2019/</t>
  </si>
  <si>
    <t>Schijf</t>
  </si>
  <si>
    <t>Forfairtair rendement</t>
  </si>
  <si>
    <t>(Post 110 telt NIET mee voor het drempelinkomen !!!)</t>
  </si>
  <si>
    <t>Jaar</t>
  </si>
  <si>
    <t>zonder fiscale partner</t>
  </si>
  <si>
    <t>met fiscale partner</t>
  </si>
  <si>
    <r>
      <t>Heffingsvrij vermogen kan worden verhoogd bij groene beleggingen (</t>
    </r>
    <r>
      <rPr>
        <sz val="11"/>
        <color rgb="FFFF0000"/>
        <rFont val="Calibri"/>
        <family val="2"/>
        <scheme val="minor"/>
      </rPr>
      <t>niet opgenomen in tabel Basisgegevens</t>
    </r>
    <r>
      <rPr>
        <sz val="11"/>
        <rFont val="Calibri"/>
        <family val="2"/>
        <scheme val="minor"/>
      </rPr>
      <t>)</t>
    </r>
  </si>
  <si>
    <t>U betaalt belasting over uw inkomen uit uw vermogen: De zogenoemde grondslag sparen en beleggen (box 3). Dat is de waarde van uw bezittingen min uw schulden op 1 januari van het jaar waarover u aangifte doet, min uw heffingsvrij vermogen. Wij belasten niet de werkelijke opbrengst, maar een percentage van de waarde van de grondslag sparen en beleggen.</t>
  </si>
  <si>
    <t>c. geld- en vermogensrechten (o.a. spaartegoeden)</t>
  </si>
  <si>
    <t>Deze post is in beginsel de grondslag voor berekening van de draagkracht!</t>
  </si>
  <si>
    <t>Rendement op vermogen over 2019</t>
  </si>
  <si>
    <t>Komt in plaats van post 41 als er sprake in van loon en vakantiebonnen, dit Inkomen kan niet zonder meer uit de salarisspecificatie worden afgelezen maar moet worden berekend!</t>
  </si>
  <si>
    <t>Formule regel 2: € 2.477 - 5,147% x (94: belastbaar inkomen uit werk en woning - € 20.384)</t>
  </si>
  <si>
    <t>Arbeidsinkomen:</t>
  </si>
  <si>
    <t>Arbeidsinkomen</t>
  </si>
  <si>
    <t>Verzamelinkomen:</t>
  </si>
  <si>
    <t>= nr.94</t>
  </si>
  <si>
    <t>Huidig berekeningsjaar is:</t>
  </si>
  <si>
    <t>AOW-jaar:</t>
  </si>
  <si>
    <r>
      <t xml:space="preserve">U krijgt de ouderenkorting als u: </t>
    </r>
    <r>
      <rPr>
        <u/>
        <sz val="10"/>
        <color rgb="FF000000"/>
        <rFont val="Verdana"/>
        <family val="2"/>
      </rPr>
      <t>Op 31-12 van het jaar van berekening de AOW leeftijd hebt.</t>
    </r>
  </si>
  <si>
    <t>Verschuldigde belasting:</t>
  </si>
  <si>
    <t>Belasting schijf box 1 in 2019 AOW leeftijd nog niet bereikt</t>
  </si>
  <si>
    <t>Geboren voor:</t>
  </si>
  <si>
    <t>Belasting schijf box 1 AOW leeftijd wordt in 2019 bereikt</t>
  </si>
  <si>
    <t>Belasting</t>
  </si>
  <si>
    <t>Jaar waarin recht op AOW:</t>
  </si>
  <si>
    <t>Drempelinkomen:</t>
  </si>
  <si>
    <t>Verzamelinkomen: Optelsom van de inkomens uit de 3 boxen min de aftrekposten, exclusief de persoonsgebonden aftrek in box 1, 2 en/of 3</t>
  </si>
  <si>
    <t>Te betalen belasting (samengesteld uit de onderstaande 4 tariefsoorten (niet AOW / Geboren voor of juist op/na 01-01-1946 / In berekeningsjaar pas recht op AOW</t>
  </si>
  <si>
    <t>= nr.94 - (nr. 77, 99 en 110)</t>
  </si>
  <si>
    <t>Forfaitaire bedragen</t>
  </si>
  <si>
    <t>Af: "Gemiddelde basishuur"</t>
  </si>
  <si>
    <t>Forfaitaire woonlast %  van het NBI (123)</t>
  </si>
  <si>
    <t>Maximale woonlasten %</t>
  </si>
  <si>
    <t>Code</t>
  </si>
  <si>
    <t>1-4</t>
  </si>
  <si>
    <t>1-2</t>
  </si>
  <si>
    <t>1-0</t>
  </si>
  <si>
    <t>2-8</t>
  </si>
  <si>
    <t>2-6</t>
  </si>
  <si>
    <t>2-2</t>
  </si>
  <si>
    <t>2-0</t>
  </si>
  <si>
    <t>2-4</t>
  </si>
  <si>
    <t>3-12</t>
  </si>
  <si>
    <t>3-10</t>
  </si>
  <si>
    <t>3-8</t>
  </si>
  <si>
    <t>3-6</t>
  </si>
  <si>
    <t>3-4</t>
  </si>
  <si>
    <t>3-2</t>
  </si>
  <si>
    <t>3-0</t>
  </si>
  <si>
    <t>4-0</t>
  </si>
  <si>
    <t>4-12</t>
  </si>
  <si>
    <t>4-10</t>
  </si>
  <si>
    <t>4-8</t>
  </si>
  <si>
    <t>4-6</t>
  </si>
  <si>
    <t>4-4</t>
  </si>
  <si>
    <t>4-2</t>
  </si>
  <si>
    <t>4-16</t>
  </si>
  <si>
    <t>4-14</t>
  </si>
  <si>
    <t>Zoekcode</t>
  </si>
  <si>
    <t>Toelichting / uitleg / Wetenwaardigheden</t>
  </si>
  <si>
    <t>+/-</t>
  </si>
  <si>
    <t>Opmerkingen</t>
  </si>
  <si>
    <t>Geldt onder meer als men, al dan niet tezamen met zijn partner, direct of indirect voor tenminste 5% van het geplaatste kapitaal aandeelhouder is.</t>
  </si>
  <si>
    <r>
      <t xml:space="preserve">Persoongebonden aftrek </t>
    </r>
    <r>
      <rPr>
        <i/>
        <sz val="11"/>
        <color rgb="FFFF0000"/>
        <rFont val="Calibri"/>
        <family val="2"/>
        <scheme val="minor"/>
      </rPr>
      <t>(het niet in BOX I of III benutte deel)</t>
    </r>
  </si>
  <si>
    <t>(nr.96 + nr.98 - nr. 99)</t>
  </si>
  <si>
    <t>Inkomsten uit arbeid:</t>
  </si>
  <si>
    <t>Vaste tarief inkomstenbelasting in box II</t>
  </si>
  <si>
    <t>Wordt gevormd door de waarde uit de posten onder 102 op de peildatum van 1 januari.</t>
  </si>
  <si>
    <t>Bij AOW-ers is er de ouderentoeslag mits de gemiddelde rendements- grondslag niet hoger is dan een in de wet vastgesteld bedrag en is afhankelijk van het inkomen in Box 1</t>
  </si>
  <si>
    <t>Vaste tarief inkomstenbelasting in box III</t>
  </si>
  <si>
    <t>Berekenings- en belasting percentages</t>
  </si>
  <si>
    <t>Inkomensheffing box I en inkomensbelasting box II en III</t>
  </si>
  <si>
    <t>(nr.95 + nr.101 + nr.112)</t>
  </si>
  <si>
    <t>Alleenstaande ouderenkorting</t>
  </si>
  <si>
    <t>Ouderenkorting</t>
  </si>
  <si>
    <t>Tabel eigenwoningforfait</t>
  </si>
  <si>
    <t>(nr.109 - nr.110)</t>
  </si>
  <si>
    <t>Belastbaar inkomen uit sparen en beleggen (Box III):</t>
  </si>
  <si>
    <t>Belastbaar inkomen uit aanmerkelijk belang (Box II):</t>
  </si>
  <si>
    <t>Belastbaar inkomen uit werk en woning (saldo van a t/m h) (Box I):</t>
  </si>
  <si>
    <t>Vervallen</t>
  </si>
  <si>
    <t>Onderwerp / Onderdeel</t>
  </si>
  <si>
    <t>BOX I: Inkomen uit woning en werk</t>
  </si>
  <si>
    <t>(nr. 115 alle posten)</t>
  </si>
  <si>
    <t>(nr.114 - nr.116)</t>
  </si>
  <si>
    <t>Bij verstrekking van vakantiebonnen hier (als het niet om een WW-uitkering gaat) de onbelaste waarde hiervan opgeven . Dit onbelaste deel komt niet voor op de jaaropgaaf van de werkgever. Zie 45 en 60.</t>
  </si>
  <si>
    <t>Andere inkomsten van de onderhoudsplichtige, een door deze te ontvangen kindgebonden budget (alleen in geval van kinderalimentatie), ook het netto inkomen van nieuwe partner die niet geheel in eigen onderhoud kan voorzien.</t>
  </si>
  <si>
    <t>Bijv. premie netto pensioensparen. Dit gaat dan over het bedrag dat boven de fiscaal gefaciliteerde pensioenopbouw tot max. € 107.593,- per jaar gaat.</t>
  </si>
  <si>
    <t>Besteedbaar inkomen per jaar, voor aftrek van de verschuldigde inkomensafhankelijke bijdrage ZVW</t>
  </si>
  <si>
    <t>Af: Door werkgever/uitkeringsinstantie ingehouden inkomensafhankelijke bijdrage ZVW (vervallen)</t>
  </si>
  <si>
    <t>Af: Premie netto pensioensparen</t>
  </si>
  <si>
    <t>Hieronder vallen de premie voor een opstalverzekering, het eigenaarsdeel van de onroerende zaakbelasting, de polder- of waterschapslasten en onderhoudskosten. Het forfaitair bedrag is € 95 per maand,
tenzij wordt aangetoond dat de kosten hoger zijn</t>
  </si>
  <si>
    <t>(nr.120 / 12)</t>
  </si>
  <si>
    <t>Aftrekare (rente)kosten / per jaar:</t>
  </si>
  <si>
    <t>De werkelijke woonlasten zijn: Kale huur + evt. servicekosten zoals bijdragen in het elektriciteitsverbruik van lift en in het schoonhouden van gemeenschappelijke ruimten.</t>
  </si>
  <si>
    <t>Betaalde (hypotheek)rente/maand (83)</t>
  </si>
  <si>
    <t>Te betalen jaarbedrag / 12 maanden</t>
  </si>
  <si>
    <t>Betaalde aflossing/maand (123)</t>
  </si>
  <si>
    <t>Bedrag waarop per maand recht aan huurtoeslag bestaat</t>
  </si>
  <si>
    <t>Betaalde hypotheekrente per maand</t>
  </si>
  <si>
    <t>Betaalde hypotheekaflossing per maand</t>
  </si>
  <si>
    <t>Als het eigen risico is gerealiseerd en/of aannemelijk wordt gemaakt</t>
  </si>
  <si>
    <r>
      <t xml:space="preserve">Premies ter reparatie van het WAO/WIA-gat, dekking van pensioenbreuk en dekking van het nabestaandenpensioengat (voor zover zelft getroffen en betaald). Dekking van 1e jaar ziekte/arbeidsongeschiktheid bij zelfstandige cq directeur-grootaandeelhouder van een BV. Opbouw van een pensioen van een zelfstandige. </t>
    </r>
    <r>
      <rPr>
        <sz val="11"/>
        <color rgb="FFFF0000"/>
        <rFont val="Calibri"/>
        <family val="2"/>
        <scheme val="minor"/>
      </rPr>
      <t>Let op: SPECIALISTISCH ONDERDEEL</t>
    </r>
  </si>
  <si>
    <t>In het algemeen is met de noodzakelijke kosten van kinderopvang al rekening gehouden bij de bepaling van de behoefte van de kinderen.</t>
  </si>
  <si>
    <t>Bijvoorbeeld: Autokosten, indien deze sociaal en/of medisch noodzakelijk zijn, terwijl daarvoor geen vergoeding kan worden verkregen.</t>
  </si>
  <si>
    <t>Alleen als de kosten worden gemaakt met het reële vooruitzicht dat het inkomen en daarmee ook de draagkracht in de nabije toekomst stijgt</t>
  </si>
  <si>
    <t>Betaling van rente en aflossing op schulden, aangegaan t.b.v. de gemeenschappelijke huishouding ten tijde van de relatie en andere uit die tijd stammende verplichtingen wordt altijd in aanmerking genomen</t>
  </si>
  <si>
    <t xml:space="preserve">Geldt voor degene die aan zijn ex-partner de inboedel laat, is wel afhankelijk van de omstandigheden (o.a. kinderalimentatie), maar als de noodzaak van herinrichting vaststaat en de kosten niet uit spaargeld kunnen worden voldaan, kan een schuld van maximaal € 5.500,- met verplichting van € 125,-/maand in het algemeen redelijk worden geacht. </t>
  </si>
  <si>
    <t>Reële, noodzakelijke kosten, gemaakt om het inkomen te verwerven. Reiskosten OV of E 0,125/km. Eventueel ook de aflossing van een hiervoor aangegane lening.</t>
  </si>
  <si>
    <t>Voor de verwerking van kosten verbonden aan de zorgregeling, zie paragraaf 5.2.2.</t>
  </si>
  <si>
    <t>(nr.122 t/m nr.134)</t>
  </si>
  <si>
    <t>(nr.121 - nr.135)</t>
  </si>
  <si>
    <t>De Expertgroep beveelt aan om de partneralimentatie hier af te trekken en niet vóór de berekening van het besteedbaar inkomen</t>
  </si>
  <si>
    <t>(nr.140 - nr.141)</t>
  </si>
  <si>
    <t>Nr.</t>
  </si>
  <si>
    <t>Pensioenpremie</t>
  </si>
  <si>
    <t>Stap</t>
  </si>
  <si>
    <t xml:space="preserve">(NA) heeft dus een nieuwe waarde gekregen, </t>
  </si>
  <si>
    <t xml:space="preserve">(BI) stellen we nu op € 34.300 </t>
  </si>
  <si>
    <t xml:space="preserve">Alimentatieplichtige 66 jaar of ouder? </t>
  </si>
  <si>
    <t xml:space="preserve">(NA) heeft dus een nieuwe waarde gekregen </t>
  </si>
  <si>
    <t>Ga naar stap</t>
  </si>
  <si>
    <t xml:space="preserve">Is (BI) kleiner dan of gelijk aan  </t>
  </si>
  <si>
    <t>Is (BI) kleiner dan of gelijk aan</t>
  </si>
  <si>
    <t>Is (BI) kleiner dan of gelijk aan?</t>
  </si>
  <si>
    <t>Belastbaar inkomen in BOX I</t>
  </si>
  <si>
    <t>Factor</t>
  </si>
  <si>
    <t>(post 94, evt. verminderd na verhoging van persoonsgebonden aftrek op grond van 139)</t>
  </si>
  <si>
    <t>(P)</t>
  </si>
  <si>
    <t>De netto alimentatie (NA)  per jaar</t>
  </si>
  <si>
    <t>Drempelbedrag</t>
  </si>
  <si>
    <t>(NA)</t>
  </si>
  <si>
    <t>Bedragen</t>
  </si>
  <si>
    <t>Eindbedragen</t>
  </si>
  <si>
    <t>Bereken (NA) - (P)</t>
  </si>
  <si>
    <t>(NA) heeft dus een nieuwe waarde gekregen,</t>
  </si>
  <si>
    <t>Transport BI:</t>
  </si>
  <si>
    <t xml:space="preserve">Alimentatieplichtige 66 jaar en vier maanden of ouder? </t>
  </si>
  <si>
    <t>Alimentatieplichtige 66 jaar en vier maanden of ouder?</t>
  </si>
  <si>
    <t>Periodieke betalingen erfpacht e.d./ maand (84)</t>
  </si>
  <si>
    <t xml:space="preserve"> Belasting bij kinderalimentatie</t>
  </si>
  <si>
    <t>Vanaf</t>
  </si>
  <si>
    <t>Tot en met</t>
  </si>
  <si>
    <t>5,860% x (arbeidsinkomen - € 4.993)</t>
  </si>
  <si>
    <t>€ 1.452</t>
  </si>
  <si>
    <t>Geschoond tbv kinderalimentatie</t>
  </si>
  <si>
    <t>n.v.t</t>
  </si>
  <si>
    <t>Ziektekosten en overige lasten</t>
  </si>
  <si>
    <t>Totale ziektekosten en overige lasten:</t>
  </si>
  <si>
    <t>Beschikbaar voor partner en kinderalimentatie</t>
  </si>
  <si>
    <t>Netto Gezinsinkomen</t>
  </si>
  <si>
    <t>Zorgkorting</t>
  </si>
  <si>
    <t>ren tabel</t>
  </si>
  <si>
    <t>Kosten kids tabel</t>
  </si>
  <si>
    <t>Leeftijd nu</t>
  </si>
  <si>
    <t>Getal</t>
  </si>
  <si>
    <t>Leeftijdsgroepen bij:</t>
  </si>
  <si>
    <t>Geboren op</t>
  </si>
  <si>
    <t>18 t/m 21</t>
  </si>
  <si>
    <t>22 of ouder</t>
  </si>
  <si>
    <r>
      <t xml:space="preserve">Ink.afh. Combinatiekorting </t>
    </r>
    <r>
      <rPr>
        <b/>
        <u/>
        <sz val="11"/>
        <color rgb="FFFF0000"/>
        <rFont val="Calibri"/>
        <family val="2"/>
        <scheme val="minor"/>
      </rPr>
      <t>(AOW-ers)</t>
    </r>
  </si>
  <si>
    <r>
      <t xml:space="preserve">Ink.afh. Combinatiekorting </t>
    </r>
    <r>
      <rPr>
        <b/>
        <u/>
        <sz val="11"/>
        <color rgb="FFFF0000"/>
        <rFont val="Calibri"/>
        <family val="2"/>
        <scheme val="minor"/>
      </rPr>
      <t>(Werkende)</t>
    </r>
  </si>
  <si>
    <t>Aantal kinderen dat verzorgt wordt door</t>
  </si>
  <si>
    <t>Kindgebonden budget t.t.v. de relatie</t>
  </si>
  <si>
    <t>Netto Besteedbaar Inkomen (NBI):</t>
  </si>
  <si>
    <t>Na de scheiding:</t>
  </si>
  <si>
    <t>Uitgangspunt voor deze berekening is het volgende NBI:</t>
  </si>
  <si>
    <t>Kind dat valt onder de zorg van</t>
  </si>
  <si>
    <t>Aantoonbare extra kosten</t>
  </si>
  <si>
    <t>Ten tijde van de relatie ontvangen/betaald:</t>
  </si>
  <si>
    <t>Naam van het kind</t>
  </si>
  <si>
    <t>Leeftijd (nu)</t>
  </si>
  <si>
    <t>KB punten</t>
  </si>
  <si>
    <t>Totaal kosten kinderen</t>
  </si>
  <si>
    <t>Aantoon- bare extra kosten</t>
  </si>
  <si>
    <t>Ingeschreven bij</t>
  </si>
  <si>
    <t>Korting</t>
  </si>
  <si>
    <t>Zorgkor- tings %</t>
  </si>
  <si>
    <t>Nominaal deel premie ZVW bijstandsnorm</t>
  </si>
  <si>
    <t>Aant.</t>
  </si>
  <si>
    <t>Gemiddelde basishuur</t>
  </si>
  <si>
    <t>Huurtoeslag</t>
  </si>
  <si>
    <t>Kale huur</t>
  </si>
  <si>
    <t>Draagkrachtvergelijking / Verdeling van de kosten</t>
  </si>
  <si>
    <t>Zorgkor-ting maximaal</t>
  </si>
  <si>
    <t>VUT / FPU premie</t>
  </si>
  <si>
    <t>Aanv. Ingeh. premie inkomensvoorz.</t>
  </si>
  <si>
    <t>Arbeidsongeschiktheidsverz. WAO/WIA gat</t>
  </si>
  <si>
    <t>Bijdrage werkgever in ziektekosten</t>
  </si>
  <si>
    <t>Eigen woning</t>
  </si>
  <si>
    <t>Inkomensvoorzieningen</t>
  </si>
  <si>
    <t>Heffingen BOX 1</t>
  </si>
  <si>
    <t>Af: Terbeschikingsstellings vrijstelling</t>
  </si>
  <si>
    <t>(transport)</t>
  </si>
  <si>
    <t>Premies</t>
  </si>
  <si>
    <t>Loon</t>
  </si>
  <si>
    <t>Loon voor de premies werknemersverzekeringen:</t>
  </si>
  <si>
    <t>Bruto jaar inkomen:</t>
  </si>
  <si>
    <t>65b</t>
  </si>
  <si>
    <t>Afwijken winst uit ondernemirng</t>
  </si>
  <si>
    <t>(nr.76 + nr.77)</t>
  </si>
  <si>
    <t>(nr.79 - nr.80)</t>
  </si>
  <si>
    <t>(nr.81 + nr.82) (Post 93 telt NIET mee voor het drempelinkomen !!!)</t>
  </si>
  <si>
    <t>Kinderalimentie</t>
  </si>
  <si>
    <t>Alimentatieplichtige</t>
  </si>
  <si>
    <t>Alimentatiegerechtigd</t>
  </si>
  <si>
    <t>Werkelijke vermogensinkomsten:</t>
  </si>
  <si>
    <t>Grondslag forfaitair rendement:</t>
  </si>
  <si>
    <t>Besteedbaar inkomen</t>
  </si>
  <si>
    <t>(nr. 82) - (nr.83 t/m 84)</t>
  </si>
  <si>
    <t>Inkomen na aftrek van inkomensheffing:</t>
  </si>
  <si>
    <t>Bijstandsuitkering</t>
  </si>
  <si>
    <t>- Bijstandsuitkering</t>
  </si>
  <si>
    <t>Totaal Netto inkomsten:</t>
  </si>
  <si>
    <t>Netto uitkering</t>
  </si>
  <si>
    <t>- Door werkgever ingehouden inkomensafhankelijke bijdrage ZVW</t>
  </si>
  <si>
    <t>- Op aanslag zelf betaalde inkomensafhankelijke bijdrage ZVW</t>
  </si>
  <si>
    <t>Totaal Netto uitgaven:</t>
  </si>
  <si>
    <t>Standaard heffingskorting:</t>
  </si>
  <si>
    <t>Draagkrachtloos inkomen</t>
  </si>
  <si>
    <t>124a</t>
  </si>
  <si>
    <t>124b</t>
  </si>
  <si>
    <t>124c</t>
  </si>
  <si>
    <t>Inkomsten uit arbeid</t>
  </si>
  <si>
    <t>Bruto uitkering Soc. Verz. Wetten</t>
  </si>
  <si>
    <t>Totaal / jaar</t>
  </si>
  <si>
    <t>Totaal gezamelijke draagkracht:</t>
  </si>
  <si>
    <t>In mindering te brengen op zorgkorting</t>
  </si>
  <si>
    <t>(= standaard)</t>
  </si>
  <si>
    <t>Korting uitgedrukt in %</t>
  </si>
  <si>
    <t>Zorgkor-ting na correctie</t>
  </si>
  <si>
    <t>Draag-kracht per kind</t>
  </si>
  <si>
    <t>Zie tabblad Behoeftetabel</t>
  </si>
  <si>
    <t>K.A</t>
  </si>
  <si>
    <t>Z.K.</t>
  </si>
  <si>
    <t>E.A</t>
  </si>
  <si>
    <t>Z.K</t>
  </si>
  <si>
    <r>
      <t xml:space="preserve">   </t>
    </r>
    <r>
      <rPr>
        <sz val="6"/>
        <color theme="1"/>
        <rFont val="Calibri"/>
        <family val="2"/>
        <scheme val="minor"/>
      </rPr>
      <t xml:space="preserve"> </t>
    </r>
    <r>
      <rPr>
        <sz val="11"/>
        <color theme="1"/>
        <rFont val="Calibri"/>
        <family val="2"/>
        <scheme val="minor"/>
      </rPr>
      <t>Vrijwillig eigen risico indien gerealiseerd</t>
    </r>
  </si>
  <si>
    <t>Forfaitairbedrag</t>
  </si>
  <si>
    <t>Draagkrachtloos inkomen:</t>
  </si>
  <si>
    <t>Draagkrachtruimte:</t>
  </si>
  <si>
    <t>Beschikbaar voor kinder- (uit huidige of een eerder huwelijk) en partneralimentatie:</t>
  </si>
  <si>
    <t>Eerder NBI in:</t>
  </si>
  <si>
    <t>Huidig en evt. eerder berekeningsjaar:</t>
  </si>
  <si>
    <t>Meer dan 4 kids? Alleen oudste 4 meetellen</t>
  </si>
  <si>
    <t>(zie: Wit/groene regel in de tabellen rechts)</t>
  </si>
  <si>
    <t>Eigen aandeel ouders conform NIBUD tabel:</t>
  </si>
  <si>
    <t>Nr.141</t>
  </si>
  <si>
    <t>Beschikbaar voor partneralimentatie per jaar:</t>
  </si>
  <si>
    <t xml:space="preserve">   Max = 4 kids, bij meer: Dan tellen alleen de oudste 4 kinderen.</t>
  </si>
  <si>
    <t>Totaal bruto maandloon</t>
  </si>
  <si>
    <t>Vakantietoeslag (vul % in)</t>
  </si>
  <si>
    <t>Eindejaarsuitkering (vul % in)</t>
  </si>
  <si>
    <t>Besteedbaar</t>
  </si>
  <si>
    <t>Samenvatting</t>
  </si>
  <si>
    <t>Berekeningsdatum &amp; jaar</t>
  </si>
  <si>
    <t>Alimentatieberekeningsjaar</t>
  </si>
  <si>
    <t>Algemeen</t>
  </si>
  <si>
    <t>Personen</t>
  </si>
  <si>
    <t>Partijen</t>
  </si>
  <si>
    <t>Kinderen</t>
  </si>
  <si>
    <t>Ingeschreven bij:</t>
  </si>
  <si>
    <t>AG:</t>
  </si>
  <si>
    <t>AP:</t>
  </si>
  <si>
    <t>Wie?</t>
  </si>
  <si>
    <t>Samenvatting berekening</t>
  </si>
  <si>
    <t>Behoefte van de kinderen:</t>
  </si>
  <si>
    <t>Bedrag</t>
  </si>
  <si>
    <t>NBI inkomensgrens minimumdraagkracht</t>
  </si>
  <si>
    <t>Berekende NBI is:</t>
  </si>
  <si>
    <t>Toelichting</t>
  </si>
  <si>
    <t>Oppaskosten ten tijde van de relatie</t>
  </si>
  <si>
    <t>Na aftrek zorg-korting</t>
  </si>
  <si>
    <t>Afwijkingen t.g.v. negatieve zorgkortingen</t>
  </si>
  <si>
    <t>De berekeningsdatum is vastgezet op:</t>
  </si>
  <si>
    <t>KA na aftrek zorg-korting</t>
  </si>
  <si>
    <t>Eigen aandeel ouders vlgs NIBUD-tabel</t>
  </si>
  <si>
    <t>(Structurele) inkomsten uit overwerk</t>
  </si>
  <si>
    <t>Bijtelling auto (t.b.v. verzamelinkomen)</t>
  </si>
  <si>
    <t>Bijtelling volgens salarisstrook</t>
  </si>
  <si>
    <t>Eigen bijdrage</t>
  </si>
  <si>
    <t>Jaarbedrag</t>
  </si>
  <si>
    <t>Bijdrage per:</t>
  </si>
  <si>
    <t>Bijtelling auto van de zaak</t>
  </si>
  <si>
    <t>Vakantietoeslag 8%</t>
  </si>
  <si>
    <t>Uitkering per:</t>
  </si>
  <si>
    <t>Inkomen uit overwerk (hier ook vakantiegeld over per 1-1-2019)</t>
  </si>
  <si>
    <r>
      <t xml:space="preserve">Gebruik de loonstroken van een compleet jaar
</t>
    </r>
    <r>
      <rPr>
        <b/>
        <u/>
        <sz val="11"/>
        <rFont val="Calibri"/>
        <family val="2"/>
        <scheme val="minor"/>
      </rPr>
      <t>LET OP:</t>
    </r>
    <r>
      <rPr>
        <sz val="11"/>
        <rFont val="Calibri"/>
        <family val="2"/>
        <scheme val="minor"/>
      </rPr>
      <t xml:space="preserve"> Inkomsten van werknemers die vakantiebonnen ontvangen moeten bij nr. 45 worden ingevuld, niet hier!</t>
    </r>
  </si>
  <si>
    <t>Datum</t>
  </si>
  <si>
    <t>Verwerkt op</t>
  </si>
  <si>
    <t>To Do's en Wensen</t>
  </si>
  <si>
    <t>Wijzigingen</t>
  </si>
  <si>
    <t>In versie</t>
  </si>
  <si>
    <t>Winst uit onderneming (door te voeren bij Nr.113):</t>
  </si>
  <si>
    <t>Recht op Startersaftrek</t>
  </si>
  <si>
    <t>MKB-winstvrijstelling 14%</t>
  </si>
  <si>
    <t>MKB Winstvrijstellings %</t>
  </si>
  <si>
    <t>Stakingsaftrek</t>
  </si>
  <si>
    <t>Inkomen uit aanmerkelijk belang:</t>
  </si>
  <si>
    <t>104d</t>
  </si>
  <si>
    <t>Drempelbedrag schulden bij rendementsgrondslag</t>
  </si>
  <si>
    <r>
      <t>d. Schulden</t>
    </r>
    <r>
      <rPr>
        <sz val="11"/>
        <color rgb="FFFF0000"/>
        <rFont val="Calibri"/>
        <family val="2"/>
        <scheme val="minor"/>
      </rPr>
      <t xml:space="preserve">    </t>
    </r>
  </si>
  <si>
    <t xml:space="preserve">    Drempel bij schulden (alleenstaande):</t>
  </si>
  <si>
    <t>d. Schulden (schuld - drempelbedrag)</t>
  </si>
  <si>
    <t>Heffingsvrij vermogen (alleenstaande)</t>
  </si>
  <si>
    <t>Drempel</t>
  </si>
  <si>
    <t>= (nr.41+44-44(Uitk WW)+(45t/m49)-(51t/m53)-55+57+58-62+70+78)</t>
  </si>
  <si>
    <t>https://www.belastingdienst.nl/wps/wcm/connect/bldcontentnl/belastingdienst/prive/vermogen_en_aanmerkelijk_belang/vermogen/wat_zijn_uw_bezittingen_en_schulden/uw_schulden/drempel</t>
  </si>
  <si>
    <t>Als belastbaar inkomen - inkomensheffing lager is dan de in 143 berekende alimentatie:</t>
  </si>
  <si>
    <t>Netto alimentatie per jaar:</t>
  </si>
  <si>
    <t>Totale som netto alimentatie en belastingvoordeel BOX I:</t>
  </si>
  <si>
    <t xml:space="preserve">Na aftrek inkomensheffing BOX I: </t>
  </si>
  <si>
    <t>Verschil:</t>
  </si>
  <si>
    <t>Overzicht t.b.v. bepalen van omrekeningsmethode naar Netto alimentatie</t>
  </si>
  <si>
    <t>Kinderalimentatie per jaar:</t>
  </si>
  <si>
    <t>Verschil van 145</t>
  </si>
  <si>
    <t>Na aftrek inkomensheffing BOX III</t>
  </si>
  <si>
    <t>Zelfstandigenaftrek? 1225 uur</t>
  </si>
  <si>
    <t>Speur- en ontwikkelingswerk: S &amp; O aftrek</t>
  </si>
  <si>
    <t>Speur- en ontwikkelingswerk: Extra aftrek</t>
  </si>
  <si>
    <t>Totaal Speur- en ontwikkelingswerk:</t>
  </si>
  <si>
    <t>Ondernemersaftrekposten</t>
  </si>
  <si>
    <t>Meegewerkte uren</t>
  </si>
  <si>
    <t>0 - 525</t>
  </si>
  <si>
    <t>525 - 875</t>
  </si>
  <si>
    <t>875 - 1225</t>
  </si>
  <si>
    <t>1225 - 1750</t>
  </si>
  <si>
    <t>1750  of meer</t>
  </si>
  <si>
    <t>% van de winst</t>
  </si>
  <si>
    <t>Aftrekbaar % van de winst:</t>
  </si>
  <si>
    <t>Drempel studiekosten</t>
  </si>
  <si>
    <t>Verschuldigde inkomensheffing:</t>
  </si>
  <si>
    <t>(nr.113 - nr. 117)</t>
  </si>
  <si>
    <t>- Kindgebonden budget + Alleenstaande ouderkop</t>
  </si>
  <si>
    <t>- Bij te tellen heffingskorting partner</t>
  </si>
  <si>
    <r>
      <rPr>
        <b/>
        <u/>
        <sz val="11"/>
        <rFont val="Calibri"/>
        <family val="2"/>
        <scheme val="minor"/>
      </rPr>
      <t xml:space="preserve">LET OP: </t>
    </r>
    <r>
      <rPr>
        <sz val="11"/>
        <rFont val="Calibri"/>
        <family val="2"/>
        <scheme val="minor"/>
      </rPr>
      <t xml:space="preserve"> Alleen indien van toepassing EN alleen geldig bij berekening tijdens scheiding (dan is er nog sprake van een (belasting)partner)</t>
    </r>
  </si>
  <si>
    <r>
      <rPr>
        <b/>
        <u/>
        <sz val="11"/>
        <rFont val="Calibri"/>
        <family val="2"/>
        <scheme val="minor"/>
      </rPr>
      <t>LET OP:</t>
    </r>
    <r>
      <rPr>
        <sz val="11"/>
        <rFont val="Calibri"/>
        <family val="2"/>
        <scheme val="minor"/>
      </rPr>
      <t xml:space="preserve"> Deze alleen invullen bij </t>
    </r>
    <r>
      <rPr>
        <b/>
        <u/>
        <sz val="11"/>
        <rFont val="Calibri"/>
        <family val="2"/>
        <scheme val="minor"/>
      </rPr>
      <t>herberekening</t>
    </r>
    <r>
      <rPr>
        <sz val="11"/>
        <rFont val="Calibri"/>
        <family val="2"/>
        <scheme val="minor"/>
      </rPr>
      <t xml:space="preserve"> na een uitgesproken scheiding, tijdens scheiding is evt. KGB al verwerkt in NBI!)</t>
    </r>
  </si>
  <si>
    <t>Omdat een bijstandsuitkering is een NETTO uitkering, daarom bij 119 opvoeren!</t>
  </si>
  <si>
    <t xml:space="preserve">(nr.112 - nr.117 + nr.118 + 119a - 119b </t>
  </si>
  <si>
    <t>Premies uitk. Inkomensvoorzieningen, aftrekbaar</t>
  </si>
  <si>
    <t>(nr.113 - nr.117 + nr.118 + nr.119a - nr.119b - nr. 89 (= alleen bij KA)</t>
  </si>
  <si>
    <r>
      <t xml:space="preserve">Bijstandsnorm inclusief vakantiegeld (uitgangspunt: </t>
    </r>
    <r>
      <rPr>
        <b/>
        <u/>
        <sz val="11"/>
        <color theme="1"/>
        <rFont val="Calibri"/>
        <family val="2"/>
        <scheme val="minor"/>
      </rPr>
      <t>alleenstaande</t>
    </r>
    <r>
      <rPr>
        <sz val="11"/>
        <color theme="1"/>
        <rFont val="Calibri"/>
        <family val="2"/>
        <scheme val="minor"/>
      </rPr>
      <t>)</t>
    </r>
  </si>
  <si>
    <t>- kale huur (incl. noodzakelijke servicekosten)</t>
  </si>
  <si>
    <t>Denk ook aan ondersteuning studerend kind / Indien aantoonbaar advocaatkosten zijn gemaakt en er geen liquide middelen (te verwachten) zijn is de aanbeveling rekening te houden met een bedrag voor noodzakelijke en redelijke rechtshulpkosten van max. € 1.368,- met een maandlast max. € 114,- gedurende ten hoogste één jaar.</t>
  </si>
  <si>
    <t>Percentage draagkrachtruimte (alleenwonend)</t>
  </si>
  <si>
    <t>Maximale woonlasten (huur/hypotheek, G/W/E &amp; Gemeentelijke &amp; Waterschapslasten):</t>
  </si>
  <si>
    <t>Totale woonlast inclusief fiscaal voordeel:</t>
  </si>
  <si>
    <t xml:space="preserve">Gewenst maximum bedrag woonlast: </t>
  </si>
  <si>
    <t>Netto besteedbaar inkomen excl. fiscale voordelen woonlast</t>
  </si>
  <si>
    <t>Af: Bijdrage partner in woonlast</t>
  </si>
  <si>
    <t>Af: Korting onredelijke woonlast</t>
  </si>
  <si>
    <t>Controle op redelijkheid van de woonlast:</t>
  </si>
  <si>
    <t>Verschil woonlast &amp; gewenste max. woonlast:</t>
  </si>
  <si>
    <t>Eventueel als correctie in te vullen bij 123: Korting onredelijke woonlast:</t>
  </si>
  <si>
    <t xml:space="preserve">Voordeel i.v.m. betaalde alimentatie (eerdere) ex-partner </t>
  </si>
  <si>
    <t>Het (inkomens)belastingvoordeel dat verkregen wordt bij post 138 dient hier verrekend te worden.</t>
  </si>
  <si>
    <t>Draagkrachttabel tot AOW-leeftijd</t>
  </si>
  <si>
    <t>NBI vanaf</t>
  </si>
  <si>
    <t>NBI tot en met</t>
  </si>
  <si>
    <t>Woonlast</t>
  </si>
  <si>
    <t>Berekeningsformule</t>
  </si>
  <si>
    <r>
      <t>Forfait overige eigenaarslasten (</t>
    </r>
    <r>
      <rPr>
        <b/>
        <u/>
        <sz val="11"/>
        <color theme="1"/>
        <rFont val="Calibri"/>
        <family val="2"/>
        <scheme val="minor"/>
      </rPr>
      <t>eigen woning</t>
    </r>
    <r>
      <rPr>
        <sz val="11"/>
        <color theme="1"/>
        <rFont val="Calibri"/>
        <family val="2"/>
        <scheme val="minor"/>
      </rPr>
      <t>)</t>
    </r>
  </si>
  <si>
    <t>NBI inkomensgrens minimumdraagkracht:</t>
  </si>
  <si>
    <t>Draagkrachttabel vanaf AOW-leeftijd</t>
  </si>
  <si>
    <t>Berekeningsdatum vastgezet op</t>
  </si>
  <si>
    <t>Telt vanaf 1-1-2019 mee in vakantiegeldberekening</t>
  </si>
  <si>
    <t>Telt niet mee in de berekening van het vakantiegeld</t>
  </si>
  <si>
    <t>Telt mee in vakantiegeldberekening</t>
  </si>
  <si>
    <t>Als er weining of geen draagkracht vind correctie plaats o.b.v. tabellen hieronder</t>
  </si>
  <si>
    <t>Is de kale huur maar inclusief de NOODZAKELIJKE servicekosten</t>
  </si>
  <si>
    <t>Vul hier de datum is waarop de berekening moet worden vastgezet, standaard staat hier de datum van vandaag</t>
  </si>
  <si>
    <r>
      <t xml:space="preserve">Als het om een </t>
    </r>
    <r>
      <rPr>
        <b/>
        <u/>
        <sz val="11"/>
        <color rgb="FFFF0000"/>
        <rFont val="Calibri"/>
        <family val="2"/>
        <scheme val="minor"/>
      </rPr>
      <t>herberekening</t>
    </r>
    <r>
      <rPr>
        <sz val="11"/>
        <color theme="1"/>
        <rFont val="Calibri"/>
        <family val="2"/>
        <scheme val="minor"/>
      </rPr>
      <t xml:space="preserve"> gaat hier het Netto Besteedbaar Gezinsinkomen uit het jaar van scheiding invullen</t>
    </r>
  </si>
  <si>
    <t>Invulblad voor de benodigde basisgegevens t.b.v. de alimentatieberekening</t>
  </si>
  <si>
    <t>Vul in bij partner 1 de alimatieplichtigde (AP) in en bij partner 2 de alimatatiegerechtigde (AG)</t>
  </si>
  <si>
    <t>Betreft via CAO geregelde, collectief ingehouden premie</t>
  </si>
  <si>
    <t>Individuele deelname aan collectieve WAO-gat verzekering</t>
  </si>
  <si>
    <r>
      <t xml:space="preserve">Zie </t>
    </r>
    <r>
      <rPr>
        <sz val="11"/>
        <color theme="8"/>
        <rFont val="Calibri"/>
        <family val="2"/>
        <scheme val="minor"/>
      </rPr>
      <t>https://www.belastingdienst.nl</t>
    </r>
    <r>
      <rPr>
        <sz val="11"/>
        <color theme="1"/>
        <rFont val="Calibri"/>
        <family val="2"/>
        <scheme val="minor"/>
      </rPr>
      <t xml:space="preserve"> voor informatie over deze post</t>
    </r>
  </si>
  <si>
    <r>
      <t>Zie</t>
    </r>
    <r>
      <rPr>
        <sz val="11"/>
        <color theme="8"/>
        <rFont val="Calibri"/>
        <family val="2"/>
        <scheme val="minor"/>
      </rPr>
      <t xml:space="preserve"> https://www.belastingdienst.nl</t>
    </r>
    <r>
      <rPr>
        <sz val="11"/>
        <color theme="1"/>
        <rFont val="Calibri"/>
        <family val="2"/>
        <scheme val="minor"/>
      </rPr>
      <t xml:space="preserve"> voor informatie over deze post</t>
    </r>
  </si>
  <si>
    <t>Leeftijd (o.b.v. ingevulde berekeningsdatum)</t>
  </si>
  <si>
    <t>Bruto AOW uitkering</t>
  </si>
  <si>
    <t>Zie voor de juiste bijstandsbedragen de tabel hierna</t>
  </si>
  <si>
    <t>Zie voor de juiste vakantiegeld bedragen de tabel hierna</t>
  </si>
  <si>
    <t>Bijstandsnorm t.b.v. kinderalimantieberekening</t>
  </si>
  <si>
    <t>Is de forfaitaire woonlast zoals genoemd in de draagkrachttabel hieronder.</t>
  </si>
  <si>
    <t>De gemiddelde basishuur wordt jaarlijk vastgesteld</t>
  </si>
  <si>
    <t>Kinderaliment.</t>
  </si>
  <si>
    <t>Is van belang voor bepalen van het verzamelinkomen</t>
  </si>
  <si>
    <t>Zie de maandspecificatie van de pensioenuitkering(en)</t>
  </si>
  <si>
    <t>Zie de basispremie op de polis van de ziektekostenverzekening</t>
  </si>
  <si>
    <t>Zie de aanvullende premie(s) op de polis van de ziektekostenverzekening</t>
  </si>
  <si>
    <t>Als het eigen risico dit jaar volledig wordt betaald hier Ja invullen.</t>
  </si>
  <si>
    <t>Bedrag wordt jaarlijks vastgesteld door de overheid</t>
  </si>
  <si>
    <t>Invloed Eigen woning:</t>
  </si>
  <si>
    <r>
      <t xml:space="preserve">Geboren </t>
    </r>
    <r>
      <rPr>
        <b/>
        <sz val="11"/>
        <color rgb="FFFF0000"/>
        <rFont val="Calibri"/>
        <family val="2"/>
        <scheme val="minor"/>
      </rPr>
      <t>op/na</t>
    </r>
    <r>
      <rPr>
        <b/>
        <sz val="11"/>
        <color theme="1"/>
        <rFont val="Calibri"/>
        <family val="2"/>
        <scheme val="minor"/>
      </rPr>
      <t>:</t>
    </r>
  </si>
  <si>
    <t>Partner 2 (AG)</t>
  </si>
  <si>
    <t>Partner 1 (AP)</t>
  </si>
  <si>
    <t>Zie maandspecificatie van de betreffende uitkering(en)</t>
  </si>
  <si>
    <r>
      <t>Zelfstandigenaftrek (</t>
    </r>
    <r>
      <rPr>
        <u/>
        <sz val="11"/>
        <color theme="1"/>
        <rFont val="Calibri"/>
        <family val="2"/>
        <scheme val="minor"/>
      </rPr>
      <t>Op 1-1 AOW-er? Dan 50% !!</t>
    </r>
    <r>
      <rPr>
        <sz val="11"/>
        <color theme="1"/>
        <rFont val="Calibri"/>
        <family val="2"/>
        <scheme val="minor"/>
      </rPr>
      <t>)</t>
    </r>
  </si>
  <si>
    <r>
      <t>Startersaftrek (</t>
    </r>
    <r>
      <rPr>
        <u/>
        <sz val="11"/>
        <color theme="1"/>
        <rFont val="Calibri"/>
        <family val="2"/>
        <scheme val="minor"/>
      </rPr>
      <t>Op 1-1 AOW-er? Dan 50% !!</t>
    </r>
    <r>
      <rPr>
        <sz val="11"/>
        <color theme="1"/>
        <rFont val="Calibri"/>
        <family val="2"/>
        <scheme val="minor"/>
      </rPr>
      <t>)</t>
    </r>
  </si>
  <si>
    <t xml:space="preserve">Aftrek is als op 1-1 de AOW leeftijd is bereikt nog maar 50% </t>
  </si>
  <si>
    <t>Algemene heffingskorting (AOW-er)</t>
  </si>
  <si>
    <t>Algemene heffingskorting (Werkend)</t>
  </si>
  <si>
    <t>Formule regel 2: € 1.268 - 2,633% x (belastbaar inkomen uit werk en woning - € 20.384)</t>
  </si>
  <si>
    <t>Arbeidkorting (AOW)</t>
  </si>
  <si>
    <t>Arbeidkorting (Werkend)</t>
  </si>
  <si>
    <t>https://www.belastingdienst.nl/wps/wcm/connect/bldcontentnl/belastingdienst/prive/inkomstenbelasting/heffingskortingen_boxen_tarieven/heffingskortingen/arbeidskorting/tabel-arbeidskorting-2019</t>
  </si>
  <si>
    <t xml:space="preserve">    Hebt u langer dan 6 maanden een fiscale partner, maar is uw inkomen lager dan dat van uw fiscale partner? Dan ook recht op de korting.</t>
  </si>
  <si>
    <t>U krijgt de inkomensafhankelijke combinatiekorting als u aan de volgende voorwaarden voldoet:</t>
  </si>
  <si>
    <t>Prio</t>
  </si>
  <si>
    <t xml:space="preserve">Berekenen? Zie: </t>
  </si>
  <si>
    <t>https://www.belastingdienst.nl/rekenhulpen/toeslagen/</t>
  </si>
  <si>
    <t xml:space="preserve">Bereken deze op: </t>
  </si>
  <si>
    <t xml:space="preserve">https://www.belastingdienst.nl/rekenhulpen/toeslagen/ </t>
  </si>
  <si>
    <t>https://www.svb.nl/int/nl/aow/wat_is_de_aow/wanneer_aow/</t>
  </si>
  <si>
    <t xml:space="preserve">Bereken de juiste AOW datum op: </t>
  </si>
  <si>
    <r>
      <t>Als het om een herberekening gaat hier het</t>
    </r>
    <r>
      <rPr>
        <b/>
        <u/>
        <sz val="11"/>
        <color theme="1"/>
        <rFont val="Calibri"/>
        <family val="2"/>
        <scheme val="minor"/>
      </rPr>
      <t xml:space="preserve"> jaar waarin de officiele scheiding</t>
    </r>
    <r>
      <rPr>
        <sz val="11"/>
        <color theme="1"/>
        <rFont val="Calibri"/>
        <family val="2"/>
        <scheme val="minor"/>
      </rPr>
      <t xml:space="preserve"> is uitgesproken invullen</t>
    </r>
  </si>
  <si>
    <t>Ink.afh. Combinatiekorting (Werkende / AOW-ers)</t>
  </si>
  <si>
    <t>Fiscale bruto jaarinkomen</t>
  </si>
  <si>
    <t>Bruto weekinkomen</t>
  </si>
  <si>
    <t>Belaste waarde van de vakantiebonnen</t>
  </si>
  <si>
    <t>Alternatief (= zelf handmatig berekend)</t>
  </si>
  <si>
    <t>Dit is de gebruikelijke berekening als er sprake is van een weekloon: (46 x bruto weekloon) + (46 x belaste waarde vakantiebonnen)</t>
  </si>
  <si>
    <t>Als weekloon n.v.t. is hier het berekende jaarbedrag invullen</t>
  </si>
  <si>
    <t>Bruto arbeidsinkomen bouw inclusief belast deel waarde vakantiebonnen</t>
  </si>
  <si>
    <t>Wordt berekend o.b.v. de geboortedatum &amp; (vastgezette) berekeningsdatum (zie cel C13)</t>
  </si>
  <si>
    <t>Ja invullen als er sprake is van inkomsten uit arbeid (BOX I)</t>
  </si>
  <si>
    <r>
      <t>Ja invullen als er sprake is van een (gedeeltelijke)</t>
    </r>
    <r>
      <rPr>
        <b/>
        <u/>
        <sz val="11"/>
        <color theme="1"/>
        <rFont val="Calibri"/>
        <family val="2"/>
        <scheme val="minor"/>
      </rPr>
      <t xml:space="preserve"> bijstand</t>
    </r>
    <r>
      <rPr>
        <sz val="11"/>
        <color theme="1"/>
        <rFont val="Calibri"/>
        <family val="2"/>
        <scheme val="minor"/>
      </rPr>
      <t>suitkering</t>
    </r>
  </si>
  <si>
    <t>Ja/Nee wordt bepaald o.b.v. de ingevulde pensioendatum &amp; ingevulde berekeningsdatum (cel C13)</t>
  </si>
  <si>
    <t>Deze wordt bepaald o.b.v. berekeningsdatum, wordt gebruikt in de diverse tabellen om de juiste tabel te kiezen</t>
  </si>
  <si>
    <t>Zie hiervoor de salarisstrook</t>
  </si>
  <si>
    <t>Zie (maand)specificatie(s) van de uitkeringsinstelling(en)</t>
  </si>
  <si>
    <r>
      <t>Bruto uitkering (</t>
    </r>
    <r>
      <rPr>
        <sz val="11"/>
        <color rgb="FFFF0000"/>
        <rFont val="Calibri"/>
        <family val="2"/>
        <scheme val="minor"/>
      </rPr>
      <t>NIET zijnde Bijstand, deze bij 119a</t>
    </r>
    <r>
      <rPr>
        <sz val="11"/>
        <color theme="1"/>
        <rFont val="Calibri"/>
        <family val="2"/>
        <scheme val="minor"/>
      </rPr>
      <t>)</t>
    </r>
  </si>
  <si>
    <t>Verzamelinkomen geschoond van Eigen Woning:</t>
  </si>
  <si>
    <t>Gegevens van de kinderen</t>
  </si>
  <si>
    <r>
      <t>Belasting schijf box 1 AOW leeftijd is</t>
    </r>
    <r>
      <rPr>
        <b/>
        <u/>
        <sz val="11"/>
        <color rgb="FFFF0000"/>
        <rFont val="Calibri"/>
        <family val="2"/>
        <scheme val="minor"/>
      </rPr>
      <t xml:space="preserve"> VOOR</t>
    </r>
    <r>
      <rPr>
        <b/>
        <u/>
        <sz val="11"/>
        <rFont val="Calibri"/>
        <family val="2"/>
        <scheme val="minor"/>
      </rPr>
      <t xml:space="preserve"> 2019 bereikt </t>
    </r>
    <r>
      <rPr>
        <b/>
        <u/>
        <sz val="11"/>
        <color rgb="FFFF0000"/>
        <rFont val="Calibri"/>
        <family val="2"/>
        <scheme val="minor"/>
      </rPr>
      <t>EN</t>
    </r>
    <r>
      <rPr>
        <b/>
        <u/>
        <sz val="11"/>
        <rFont val="Calibri"/>
        <family val="2"/>
        <scheme val="minor"/>
      </rPr>
      <t>:</t>
    </r>
  </si>
  <si>
    <r>
      <t xml:space="preserve">Belasting schijf box 1 AOW leeftijd is </t>
    </r>
    <r>
      <rPr>
        <b/>
        <u/>
        <sz val="11"/>
        <color rgb="FFFF0000"/>
        <rFont val="Calibri"/>
        <family val="2"/>
        <scheme val="minor"/>
      </rPr>
      <t>VOOR</t>
    </r>
    <r>
      <rPr>
        <b/>
        <u/>
        <sz val="11"/>
        <rFont val="Calibri"/>
        <family val="2"/>
        <scheme val="minor"/>
      </rPr>
      <t xml:space="preserve"> 2019 bereikt </t>
    </r>
    <r>
      <rPr>
        <b/>
        <u/>
        <sz val="11"/>
        <color rgb="FFFF0000"/>
        <rFont val="Calibri"/>
        <family val="2"/>
        <scheme val="minor"/>
      </rPr>
      <t>EN</t>
    </r>
    <r>
      <rPr>
        <b/>
        <u/>
        <sz val="11"/>
        <rFont val="Calibri"/>
        <family val="2"/>
        <scheme val="minor"/>
      </rPr>
      <t>:</t>
    </r>
  </si>
  <si>
    <t>Omrekening Bruto naar Netto alimenatie voor:</t>
  </si>
  <si>
    <t>Belastbaar inkomen in BOX I:</t>
  </si>
  <si>
    <r>
      <t>Berekenen het op:</t>
    </r>
    <r>
      <rPr>
        <sz val="11"/>
        <color theme="8"/>
        <rFont val="Calibri"/>
        <family val="2"/>
        <scheme val="minor"/>
      </rPr>
      <t xml:space="preserve"> </t>
    </r>
  </si>
  <si>
    <t>Verdeling bij te weinig draagkracht</t>
  </si>
  <si>
    <t>Totaal aantal kinderen:</t>
  </si>
  <si>
    <t>Berekening KA bij lage inkomen testen op goede werking (herverdeling bij laagste grens testen)</t>
  </si>
  <si>
    <t>Premies voor uitkering bij ziekte, ongeval of invaliditeit (aftrekbaar)</t>
  </si>
  <si>
    <t>Premies voor uitkering bij ziekte, ongeval of invaliditeit (niet aftrekbaar)</t>
  </si>
  <si>
    <t>Netto Besteedbaar Inkomen (NBI) per maand:</t>
  </si>
  <si>
    <t>Netto alimentatie (NA) volgens berekening Methode Buijs per maand :</t>
  </si>
  <si>
    <t>Restereerd voor partneralimentatie (zonder berekening belastingvoordeel)/maand:</t>
  </si>
  <si>
    <t>Netto alimentatie (NA) volgens berekening Methode Buijs per jaar :</t>
  </si>
  <si>
    <t>Minimum bedrag is E 350,- (2019)</t>
  </si>
  <si>
    <t>Leeftijd van 66 jaar wordt bereikt op</t>
  </si>
  <si>
    <t>Leeftijd van 66 jaar + 4 maanden wordt bereikt op</t>
  </si>
  <si>
    <t>Wordt gebruikt bij de netto --&gt; bruto alimentatie berekening</t>
  </si>
  <si>
    <t>Is o.b.v. berekeningsdatum de AOW-leeftijd bereikt?</t>
  </si>
  <si>
    <t>HET GEDEELTE HIERNA (145 / 146) MOET NOG VERDER GECONTROLEERD WORDEN OP JUISTHEID A.D.H.V. VOORBEELDEN  (19-04-19)</t>
  </si>
  <si>
    <t>Kosten kinderen volgens tabel</t>
  </si>
  <si>
    <t>Tijdvak:</t>
  </si>
  <si>
    <t>Jusvergelijking</t>
  </si>
  <si>
    <t>Inkomsten BOX I (excl. Alimentatie)</t>
  </si>
  <si>
    <t>Feitenlijke inkomsten BOX II en BOX III</t>
  </si>
  <si>
    <t>Onbelast inkomen</t>
  </si>
  <si>
    <t>Te ontvangen alimentatie</t>
  </si>
  <si>
    <t>Eigen aandeel</t>
  </si>
  <si>
    <r>
      <t xml:space="preserve">Een NBI tbv KA  &gt; </t>
    </r>
    <r>
      <rPr>
        <sz val="11"/>
        <color theme="1"/>
        <rFont val="Calibri"/>
        <family val="2"/>
      </rPr>
      <t>€</t>
    </r>
    <r>
      <rPr>
        <sz val="7.7"/>
        <color theme="1"/>
        <rFont val="Calibri"/>
        <family val="2"/>
      </rPr>
      <t xml:space="preserve"> </t>
    </r>
    <r>
      <rPr>
        <sz val="11"/>
        <color theme="1"/>
        <rFont val="Calibri"/>
        <family val="2"/>
        <scheme val="minor"/>
      </rPr>
      <t>6000 maximaliseren op € 6000?</t>
    </r>
  </si>
  <si>
    <t>De tabellen voor de KA kennen een schaal vanaf € 1000 tot en met € 6000, deze wordt normaal aangehouden</t>
  </si>
  <si>
    <t>Minimum inkom.grens</t>
  </si>
  <si>
    <t>Max. inkom.grens</t>
  </si>
  <si>
    <t>Belastbaar per jaar</t>
  </si>
  <si>
    <t>Heffingskortingen</t>
  </si>
  <si>
    <t>Per jaar</t>
  </si>
  <si>
    <t>Alimentatiegerechtigde:</t>
  </si>
  <si>
    <t>Alimentatieplichtige:</t>
  </si>
  <si>
    <t>Netto Besteedbaar Gezinsinkomen ten tijde van de relatie:</t>
  </si>
  <si>
    <t>Beschikbaar voor AP/AG:</t>
  </si>
  <si>
    <t>Behoeftebepaling volgens de Hofnorm</t>
  </si>
  <si>
    <t>BOX I inkomen</t>
  </si>
  <si>
    <t>Totaal inkomen in BOX I, II en II:</t>
  </si>
  <si>
    <t>Totaal aan belastingen:</t>
  </si>
  <si>
    <t>Totaal heffingskortingen:</t>
  </si>
  <si>
    <t xml:space="preserve">Eigen bijdrage in kosten kinderen (minus KA) </t>
  </si>
  <si>
    <t xml:space="preserve">  (evt. correctie in Basisgegevens invullen)</t>
  </si>
  <si>
    <t>Blijft aan netto behoefte over:</t>
  </si>
  <si>
    <t>Netto behoefte bedrag</t>
  </si>
  <si>
    <t>Bruto behoefte bedrag</t>
  </si>
  <si>
    <t>Bruto behoefte</t>
  </si>
  <si>
    <t>Netto behoefte PA --&gt; Bruto PA</t>
  </si>
  <si>
    <t>Netto behoefte bedrag / jaar</t>
  </si>
  <si>
    <t>Bruto behoefte bedrag / jaar</t>
  </si>
  <si>
    <t>Netto behoefte:</t>
  </si>
  <si>
    <t>Totaal Belastbaar inkomen uit woning &amp; werk (BOX I):</t>
  </si>
  <si>
    <t>Omgerekend naar Bruto (zie Tabblad Basisgegevens):</t>
  </si>
  <si>
    <t>Inkomensafhankelijke bijdrage ZVW over partneralimentatie a 0,057%:</t>
  </si>
  <si>
    <t>Bruto behoefte inclusief af te dragen ZVW premie:</t>
  </si>
  <si>
    <t>Compensatie nadeel lagere Algemene Heffingskorting:</t>
  </si>
  <si>
    <t xml:space="preserve">Netto inkomsten </t>
  </si>
  <si>
    <t>Werkelijke netto inkomsten:</t>
  </si>
  <si>
    <t>Netto inkomen t.b.v. eigen behoefte:</t>
  </si>
  <si>
    <t>Benodigd netto inkomen:</t>
  </si>
  <si>
    <t>Alimentatie volgens Bruto behoefte:</t>
  </si>
  <si>
    <t>Alimentatie behoefte volgens Bruto behoefte:</t>
  </si>
  <si>
    <t>Per Jaar</t>
  </si>
  <si>
    <t>Maximale alimentatie volgens DRAAGKRACHT:</t>
  </si>
  <si>
    <t>Maximale alimentatie volgens BEHOEFTE:</t>
  </si>
  <si>
    <t>Maximale alimentatie volgens JUSVERGELIJKING:</t>
  </si>
  <si>
    <t>Inkomensfhankelijke bijdrage ZVW over partneralimentatie</t>
  </si>
  <si>
    <t>Te betalen partneralimentatie</t>
  </si>
  <si>
    <t>Besteedbaar inkomen na aftrek draagkrachtloos inkomen:</t>
  </si>
  <si>
    <t>Belasting t.b.v. JUS-vergelijking</t>
  </si>
  <si>
    <t xml:space="preserve">Belasting </t>
  </si>
  <si>
    <t>Belastbaar inkomen:</t>
  </si>
  <si>
    <t>Belasting schijf 1</t>
  </si>
  <si>
    <t>Belasting schijf 2</t>
  </si>
  <si>
    <t>Belasting schijf 3</t>
  </si>
  <si>
    <t>Belasting schijf 4</t>
  </si>
  <si>
    <t>Inkomensheffing Box I:</t>
  </si>
  <si>
    <t>https://www.zorgwijzer.nl/faq/wat-is-de-inkomensafhankelijke-bijdrage</t>
  </si>
  <si>
    <t>Belasting gecorrigeerd</t>
  </si>
  <si>
    <t>Te betalen / ontvagen alimentatie (komt uit cel E11)</t>
  </si>
  <si>
    <t>JUS-Vergelijking</t>
  </si>
  <si>
    <t>Herberekende heffingskortingen</t>
  </si>
  <si>
    <t>Behoeftebepaling</t>
  </si>
  <si>
    <t>JUS-alimentatie:</t>
  </si>
  <si>
    <t>Heffingskortingen:</t>
  </si>
  <si>
    <t>Totaal Heffingskortingen:</t>
  </si>
  <si>
    <t>- andere kortingen (Jonggehandicapten, Levensloop, Groene beleggingen)</t>
  </si>
  <si>
    <t>Totaal inkomstenbelastingen (Box I, II en II)</t>
  </si>
  <si>
    <t>Besteedbaar inkomen per jaar</t>
  </si>
  <si>
    <t>Andere onderhoudsverplichtimgen</t>
  </si>
  <si>
    <t>137a</t>
  </si>
  <si>
    <t>141b</t>
  </si>
  <si>
    <t>141a</t>
  </si>
  <si>
    <t>141c</t>
  </si>
  <si>
    <r>
      <t>(Draagkrachtpercentage = 60% bij alleenstaande / 45% met gezin van onderhoudsplichtige / voor kinderalimentatie 70%).
Wanneer de onderhoudsplichtige een gezin onderhoudt, waarbij 'Gezin' ruim wordt opgevat:</t>
    </r>
    <r>
      <rPr>
        <b/>
        <u/>
        <sz val="11"/>
        <rFont val="Calibri"/>
        <family val="2"/>
        <scheme val="minor"/>
      </rPr>
      <t xml:space="preserve"> ieder die niet alleenstaande is</t>
    </r>
    <r>
      <rPr>
        <sz val="11"/>
        <rFont val="Calibri"/>
        <family val="2"/>
        <scheme val="minor"/>
      </rPr>
      <t xml:space="preserve"> heeft een gezin.</t>
    </r>
  </si>
  <si>
    <t>Als NBI onder de E 1625 komt bij KA, dan bedrag uit draagkrachttabel</t>
  </si>
  <si>
    <t>Vrije ruimte:</t>
  </si>
  <si>
    <t>Totaal aan inkomsten:</t>
  </si>
  <si>
    <t>Inkomsten</t>
  </si>
  <si>
    <t>Inhoudingen / Verplichtingen</t>
  </si>
  <si>
    <t>Totaal inhoudingen / verplichtingen:</t>
  </si>
  <si>
    <t>Verschil in Jus</t>
  </si>
  <si>
    <t>Verschil is</t>
  </si>
  <si>
    <t>Geschat bedrag:</t>
  </si>
  <si>
    <t>Schatting van de alimentatie in de JUS-vergelijking</t>
  </si>
  <si>
    <t>Correctie a 8%:</t>
  </si>
  <si>
    <t>Corrigeer met:</t>
  </si>
  <si>
    <t>In de JUS-vergelijking moet de "Vrije ruimte" voor beide partners gelijk zijn. 
Vul bij een verschil in vrije ruimte in cel H12 het correctie bedrag in. 
Zodanig dat de vrije ruimte bij beiden gelijk wordt. 
In Cel J14 de schatting van het startbedrag.</t>
  </si>
  <si>
    <r>
      <t xml:space="preserve">==&gt; Het </t>
    </r>
    <r>
      <rPr>
        <b/>
        <sz val="14"/>
        <color rgb="FF00B050"/>
        <rFont val="Calibri"/>
        <family val="2"/>
        <scheme val="minor"/>
      </rPr>
      <t>laagste</t>
    </r>
    <r>
      <rPr>
        <b/>
        <sz val="14"/>
        <color theme="1"/>
        <rFont val="Calibri"/>
        <family val="2"/>
        <scheme val="minor"/>
      </rPr>
      <t xml:space="preserve"> bedrag is het bedrag dat er aan partneralimentatie verschuldigd is &lt;==</t>
    </r>
  </si>
  <si>
    <t>a</t>
  </si>
  <si>
    <t>b</t>
  </si>
  <si>
    <t>c</t>
  </si>
  <si>
    <t>d</t>
  </si>
  <si>
    <t>e</t>
  </si>
  <si>
    <t>f</t>
  </si>
  <si>
    <t>g</t>
  </si>
  <si>
    <t>h</t>
  </si>
  <si>
    <t>i</t>
  </si>
  <si>
    <t>j</t>
  </si>
  <si>
    <t>k</t>
  </si>
  <si>
    <t>l</t>
  </si>
  <si>
    <t>m</t>
  </si>
  <si>
    <t>Gebruiksaanwijzing</t>
  </si>
  <si>
    <r>
      <t xml:space="preserve">De </t>
    </r>
    <r>
      <rPr>
        <b/>
        <u/>
        <sz val="11"/>
        <color rgb="FF00B0F0"/>
        <rFont val="Calibri"/>
        <family val="2"/>
        <scheme val="minor"/>
      </rPr>
      <t>LICHT-BLAUWE</t>
    </r>
    <r>
      <rPr>
        <b/>
        <sz val="11"/>
        <rFont val="Calibri"/>
        <family val="2"/>
        <scheme val="minor"/>
      </rPr>
      <t xml:space="preserve"> velden</t>
    </r>
    <r>
      <rPr>
        <sz val="11"/>
        <color theme="1"/>
        <rFont val="Calibri"/>
        <family val="2"/>
        <scheme val="minor"/>
      </rPr>
      <t xml:space="preserve"> zijn </t>
    </r>
    <r>
      <rPr>
        <b/>
        <u/>
        <sz val="11"/>
        <color theme="1"/>
        <rFont val="Calibri"/>
        <family val="2"/>
        <scheme val="minor"/>
      </rPr>
      <t>invulvelden</t>
    </r>
    <r>
      <rPr>
        <b/>
        <sz val="11"/>
        <color theme="1"/>
        <rFont val="Calibri"/>
        <family val="2"/>
        <scheme val="minor"/>
      </rPr>
      <t xml:space="preserve">. </t>
    </r>
    <r>
      <rPr>
        <sz val="11"/>
        <color theme="1"/>
        <rFont val="Calibri"/>
        <family val="2"/>
        <scheme val="minor"/>
      </rPr>
      <t>Deze velden komen voor in de tabbladen: "</t>
    </r>
    <r>
      <rPr>
        <i/>
        <u/>
        <sz val="11"/>
        <color theme="1"/>
        <rFont val="Calibri"/>
        <family val="2"/>
        <scheme val="minor"/>
      </rPr>
      <t>Basisgegevens</t>
    </r>
    <r>
      <rPr>
        <sz val="11"/>
        <color theme="1"/>
        <rFont val="Calibri"/>
        <family val="2"/>
        <scheme val="minor"/>
      </rPr>
      <t>", "</t>
    </r>
    <r>
      <rPr>
        <i/>
        <u/>
        <sz val="11"/>
        <color theme="1"/>
        <rFont val="Calibri"/>
        <family val="2"/>
        <scheme val="minor"/>
      </rPr>
      <t>Alimentatie 20xx-x</t>
    </r>
    <r>
      <rPr>
        <i/>
        <sz val="11"/>
        <color theme="1"/>
        <rFont val="Calibri"/>
        <family val="2"/>
        <scheme val="minor"/>
      </rPr>
      <t>"</t>
    </r>
    <r>
      <rPr>
        <sz val="11"/>
        <color theme="1"/>
        <rFont val="Calibri"/>
        <family val="2"/>
        <scheme val="minor"/>
      </rPr>
      <t xml:space="preserve"> en "</t>
    </r>
    <r>
      <rPr>
        <i/>
        <u/>
        <sz val="11"/>
        <color theme="1"/>
        <rFont val="Calibri"/>
        <family val="2"/>
        <scheme val="minor"/>
      </rPr>
      <t>Jusvergelijking</t>
    </r>
    <r>
      <rPr>
        <sz val="11"/>
        <color theme="1"/>
        <rFont val="Calibri"/>
        <family val="2"/>
        <scheme val="minor"/>
      </rPr>
      <t xml:space="preserve">".
Vul </t>
    </r>
    <r>
      <rPr>
        <b/>
        <u/>
        <sz val="11"/>
        <color rgb="FF00B0F0"/>
        <rFont val="Calibri"/>
        <family val="2"/>
        <scheme val="minor"/>
      </rPr>
      <t>LICHT-BLAUWE</t>
    </r>
    <r>
      <rPr>
        <sz val="11"/>
        <color theme="1"/>
        <rFont val="Calibri"/>
        <family val="2"/>
        <scheme val="minor"/>
      </rPr>
      <t xml:space="preserve"> velden de gevraagde gegevens (indien van toepassing) in. Hiermee worden de berekeningen uitgevoerd in de div. tabbladen.</t>
    </r>
  </si>
  <si>
    <r>
      <t xml:space="preserve">Als een veld </t>
    </r>
    <r>
      <rPr>
        <b/>
        <u/>
        <sz val="11"/>
        <color rgb="FFFF0000"/>
        <rFont val="Calibri"/>
        <family val="2"/>
        <scheme val="minor"/>
      </rPr>
      <t>ROOD</t>
    </r>
    <r>
      <rPr>
        <sz val="11"/>
        <rFont val="Calibri"/>
        <family val="2"/>
        <scheme val="minor"/>
      </rPr>
      <t xml:space="preserve"> kleurt, deze dan controleren (wel pas nadat alle gegevens zijn ingevuld). </t>
    </r>
    <r>
      <rPr>
        <b/>
        <sz val="11"/>
        <color rgb="FFFF0000"/>
        <rFont val="Calibri"/>
        <family val="2"/>
        <scheme val="minor"/>
      </rPr>
      <t>Rood</t>
    </r>
    <r>
      <rPr>
        <sz val="11"/>
        <rFont val="Calibri"/>
        <family val="2"/>
        <scheme val="minor"/>
      </rPr>
      <t xml:space="preserve"> is een signaal dat er iets is wat niet klopt! 
Bijv. als bij Bijstand "</t>
    </r>
    <r>
      <rPr>
        <i/>
        <sz val="11"/>
        <rFont val="Calibri"/>
        <family val="2"/>
        <scheme val="minor"/>
      </rPr>
      <t>Ja</t>
    </r>
    <r>
      <rPr>
        <sz val="11"/>
        <rFont val="Calibri"/>
        <family val="2"/>
        <scheme val="minor"/>
      </rPr>
      <t xml:space="preserve">" wordt ingevuld en er geen bedragen in de betreffende inkomstentabel zijn ingevuld zal deze </t>
    </r>
    <r>
      <rPr>
        <b/>
        <u/>
        <sz val="11"/>
        <color rgb="FFFF0000"/>
        <rFont val="Calibri"/>
        <family val="2"/>
        <scheme val="minor"/>
      </rPr>
      <t>ROOD</t>
    </r>
    <r>
      <rPr>
        <sz val="11"/>
        <rFont val="Calibri"/>
        <family val="2"/>
        <scheme val="minor"/>
      </rPr>
      <t xml:space="preserve"> kleuren</t>
    </r>
    <r>
      <rPr>
        <sz val="11"/>
        <color theme="1"/>
        <rFont val="Calibri"/>
        <family val="2"/>
        <scheme val="minor"/>
      </rPr>
      <t>.</t>
    </r>
  </si>
  <si>
    <t>Uitleg over de kleuren &amp; aandachtspunten hierbij</t>
  </si>
  <si>
    <t>Kleur</t>
  </si>
  <si>
    <t>LEGENDA:</t>
  </si>
  <si>
    <t xml:space="preserve">Als eerste uitleg over de gebruikte kleuren in deze Alimentatie berekeningssheet. </t>
  </si>
  <si>
    <r>
      <t xml:space="preserve">Als een veld </t>
    </r>
    <r>
      <rPr>
        <b/>
        <u/>
        <sz val="11"/>
        <color rgb="FFFFC000"/>
        <rFont val="Calibri"/>
        <family val="2"/>
        <scheme val="minor"/>
      </rPr>
      <t>ORANJE</t>
    </r>
    <r>
      <rPr>
        <sz val="11"/>
        <color theme="1"/>
        <rFont val="Calibri"/>
        <family val="2"/>
        <scheme val="minor"/>
      </rPr>
      <t xml:space="preserve"> kleurt is dat primair een </t>
    </r>
    <r>
      <rPr>
        <b/>
        <u/>
        <sz val="11"/>
        <color theme="1"/>
        <rFont val="Calibri"/>
        <family val="2"/>
        <scheme val="minor"/>
      </rPr>
      <t>ATTENTIE</t>
    </r>
    <r>
      <rPr>
        <sz val="11"/>
        <color theme="1"/>
        <rFont val="Calibri"/>
        <family val="2"/>
        <scheme val="minor"/>
      </rPr>
      <t xml:space="preserve"> signaal. Kijk extra naar de inhoud van het veld of alles klopt. De inhoud kan gewoon correct of </t>
    </r>
    <r>
      <rPr>
        <b/>
        <u/>
        <sz val="11"/>
        <color theme="1"/>
        <rFont val="Calibri"/>
        <family val="2"/>
        <scheme val="minor"/>
      </rPr>
      <t>aangepast</t>
    </r>
    <r>
      <rPr>
        <sz val="11"/>
        <color theme="1"/>
        <rFont val="Calibri"/>
        <family val="2"/>
        <scheme val="minor"/>
      </rPr>
      <t xml:space="preserve"> zijn. Bijv. als de draagkracht onder de </t>
    </r>
    <r>
      <rPr>
        <sz val="11"/>
        <color theme="1"/>
        <rFont val="Calibri"/>
        <family val="2"/>
      </rPr>
      <t>€</t>
    </r>
    <r>
      <rPr>
        <sz val="11"/>
        <color theme="1"/>
        <rFont val="Calibri"/>
        <family val="2"/>
        <scheme val="minor"/>
      </rPr>
      <t xml:space="preserve"> 0 grens komt zal i.p.v. het </t>
    </r>
    <r>
      <rPr>
        <u/>
        <sz val="11"/>
        <color theme="1"/>
        <rFont val="Calibri"/>
        <family val="2"/>
        <scheme val="minor"/>
      </rPr>
      <t>minbedrag</t>
    </r>
    <r>
      <rPr>
        <sz val="11"/>
        <color theme="1"/>
        <rFont val="Calibri"/>
        <family val="2"/>
        <scheme val="minor"/>
      </rPr>
      <t xml:space="preserve"> € 0 worden ingevuld met de </t>
    </r>
    <r>
      <rPr>
        <b/>
        <u/>
        <sz val="11"/>
        <color rgb="FFFFC000"/>
        <rFont val="Calibri"/>
        <family val="2"/>
        <scheme val="minor"/>
      </rPr>
      <t>ORANJE</t>
    </r>
    <r>
      <rPr>
        <sz val="11"/>
        <color theme="1"/>
        <rFont val="Calibri"/>
        <family val="2"/>
        <scheme val="minor"/>
      </rPr>
      <t xml:space="preserve"> markering.</t>
    </r>
  </si>
  <si>
    <r>
      <t xml:space="preserve">De </t>
    </r>
    <r>
      <rPr>
        <b/>
        <u/>
        <sz val="11"/>
        <color theme="0" tint="-0.249977111117893"/>
        <rFont val="Calibri"/>
        <family val="2"/>
        <scheme val="minor"/>
      </rPr>
      <t>GRIJZE</t>
    </r>
    <r>
      <rPr>
        <sz val="11"/>
        <color theme="1"/>
        <rFont val="Calibri"/>
        <family val="2"/>
        <scheme val="minor"/>
      </rPr>
      <t xml:space="preserve"> velden bevatten (net als de groene) velden de formules t.b.v. het maken van de juiste berekeningen.
</t>
    </r>
    <r>
      <rPr>
        <sz val="11"/>
        <color theme="1"/>
        <rFont val="Calibri"/>
        <family val="2"/>
        <scheme val="minor"/>
      </rPr>
      <t>Deze cellen zijn geblokkeerd om te voorkomen dat de formules per ongeluk verminkt/gewist worden</t>
    </r>
  </si>
  <si>
    <r>
      <t xml:space="preserve">De </t>
    </r>
    <r>
      <rPr>
        <b/>
        <u/>
        <sz val="11"/>
        <color rgb="FF92D050"/>
        <rFont val="Calibri"/>
        <family val="2"/>
        <scheme val="minor"/>
      </rPr>
      <t>GROENE</t>
    </r>
    <r>
      <rPr>
        <sz val="11"/>
        <color theme="1"/>
        <rFont val="Calibri"/>
        <family val="2"/>
        <scheme val="minor"/>
      </rPr>
      <t xml:space="preserve"> velden bevatten de berekende (eind)totalen, dit op basis van de formules in deze velden.</t>
    </r>
    <r>
      <rPr>
        <sz val="11"/>
        <color theme="1"/>
        <rFont val="Calibri"/>
        <family val="2"/>
        <scheme val="minor"/>
      </rPr>
      <t xml:space="preserve">
Deze cellen zijn geblokkeerd om te voorkomen dat de formules per ongeluk verminkt/gewist worden</t>
    </r>
  </si>
  <si>
    <r>
      <t xml:space="preserve">De </t>
    </r>
    <r>
      <rPr>
        <b/>
        <u/>
        <sz val="11"/>
        <color theme="5" tint="0.59999389629810485"/>
        <rFont val="Calibri"/>
        <family val="2"/>
        <scheme val="minor"/>
      </rPr>
      <t>ROZE</t>
    </r>
    <r>
      <rPr>
        <sz val="11"/>
        <color theme="1"/>
        <rFont val="Calibri"/>
        <family val="2"/>
        <scheme val="minor"/>
      </rPr>
      <t xml:space="preserve"> velden bevatten berekende subtotalen, dit op basis van de formules in deze velden.</t>
    </r>
    <r>
      <rPr>
        <sz val="11"/>
        <color theme="1"/>
        <rFont val="Calibri"/>
        <family val="2"/>
        <scheme val="minor"/>
      </rPr>
      <t xml:space="preserve">
Deze cellen zijn geblokkeerd om te voorkomen dat de formules per ongeluk verminkt/gewist worden</t>
    </r>
  </si>
  <si>
    <r>
      <t xml:space="preserve">De </t>
    </r>
    <r>
      <rPr>
        <b/>
        <u/>
        <sz val="11"/>
        <color rgb="FFFFFF00"/>
        <rFont val="Calibri"/>
        <family val="2"/>
        <scheme val="minor"/>
      </rPr>
      <t>GELE</t>
    </r>
    <r>
      <rPr>
        <sz val="11"/>
        <color theme="1"/>
        <rFont val="Calibri"/>
        <family val="2"/>
        <scheme val="minor"/>
      </rPr>
      <t xml:space="preserve"> velden markeren de beginregels/kopregels bovenaan de tabellen, de secties etc.</t>
    </r>
  </si>
  <si>
    <t>Hoe te starten ?</t>
  </si>
  <si>
    <t>De link staat achter de betreffende regel !!!</t>
  </si>
  <si>
    <t>Tabblad "Basisgevens"</t>
  </si>
  <si>
    <r>
      <t xml:space="preserve">Start als 1e in het tabblad "Basisgegevens", die is de primaire bron voor alle berekeningen, vul de van toepassing zijn de </t>
    </r>
    <r>
      <rPr>
        <b/>
        <u/>
        <sz val="11"/>
        <color rgb="FF00B0F0"/>
        <rFont val="Calibri"/>
        <family val="2"/>
        <scheme val="minor"/>
      </rPr>
      <t>LICHT BLAUWE</t>
    </r>
    <r>
      <rPr>
        <sz val="11"/>
        <color theme="1"/>
        <rFont val="Calibri"/>
        <family val="2"/>
        <scheme val="minor"/>
      </rPr>
      <t xml:space="preserve"> velden in.</t>
    </r>
  </si>
  <si>
    <t>- Inkomsten uit Arbeid (41, 44, 46 - 48).
- Bruto arbeidsinkomen bouw (bij vakantiebonnen) (45).
- (Extra) betaalde premies / Inkomensvoorziening (49 - 58).
- Bruto AOW-uitkering (42).
- Bruto Pensioen uitkering (50).
- Bijtelling auto van de zaak.
- Ondernemersaftrekposten (71 - 73).
- Eigen woningbezit (82 - 84).
- Bijstandsuitkering (119a)
- Forfaitaire bedragen (123).
- Ziektekosten(verzekering) (124).
- Gegevens kinderen.</t>
  </si>
  <si>
    <r>
      <t xml:space="preserve">Werk nu  in het blok </t>
    </r>
    <r>
      <rPr>
        <b/>
        <u/>
        <sz val="11"/>
        <color theme="1"/>
        <rFont val="Calibri"/>
        <family val="2"/>
        <scheme val="minor"/>
      </rPr>
      <t>kolom A t/m K</t>
    </r>
    <r>
      <rPr>
        <sz val="11"/>
        <color theme="1"/>
        <rFont val="Calibri"/>
        <family val="2"/>
        <scheme val="minor"/>
      </rPr>
      <t xml:space="preserve"> van boven naar beneden de van toepassing zijnde (inkomens)gegevens in:</t>
    </r>
  </si>
  <si>
    <t>- Alleenstaande ouderenkorting (115).
- Inkomensafhankelijke Combinatiekorting (Werkende / AOW-ers) (115)</t>
  </si>
  <si>
    <r>
      <t xml:space="preserve">Werk nu  in het blok </t>
    </r>
    <r>
      <rPr>
        <b/>
        <u/>
        <sz val="11"/>
        <color theme="1"/>
        <rFont val="Calibri"/>
        <family val="2"/>
        <scheme val="minor"/>
      </rPr>
      <t>kolom L t/m Z</t>
    </r>
    <r>
      <rPr>
        <sz val="11"/>
        <color theme="1"/>
        <rFont val="Calibri"/>
        <family val="2"/>
        <scheme val="minor"/>
      </rPr>
      <t xml:space="preserve"> van boven naar beneden de van toepassing zijnde </t>
    </r>
    <r>
      <rPr>
        <b/>
        <u/>
        <sz val="11"/>
        <color theme="1"/>
        <rFont val="Calibri"/>
        <family val="2"/>
        <scheme val="minor"/>
      </rPr>
      <t>antwoorden</t>
    </r>
    <r>
      <rPr>
        <sz val="11"/>
        <color theme="1"/>
        <rFont val="Calibri"/>
        <family val="2"/>
        <scheme val="minor"/>
      </rPr>
      <t xml:space="preserve"> in bij de:</t>
    </r>
  </si>
  <si>
    <t>Tabblad "Alimentatie 20xx-x"</t>
  </si>
  <si>
    <r>
      <t xml:space="preserve">Loop, na het invullen van de </t>
    </r>
    <r>
      <rPr>
        <b/>
        <u/>
        <sz val="11"/>
        <color rgb="FF00B0F0"/>
        <rFont val="Calibri"/>
        <family val="2"/>
        <scheme val="minor"/>
      </rPr>
      <t>BLAUWE VELDEN</t>
    </r>
    <r>
      <rPr>
        <sz val="11"/>
        <color theme="1"/>
        <rFont val="Calibri"/>
        <family val="2"/>
        <scheme val="minor"/>
      </rPr>
      <t xml:space="preserve"> in het tabblad "</t>
    </r>
    <r>
      <rPr>
        <i/>
        <sz val="11"/>
        <color theme="1"/>
        <rFont val="Calibri"/>
        <family val="2"/>
        <scheme val="minor"/>
      </rPr>
      <t>Basisgegevens</t>
    </r>
    <r>
      <rPr>
        <sz val="11"/>
        <color theme="1"/>
        <rFont val="Calibri"/>
        <family val="2"/>
        <scheme val="minor"/>
      </rPr>
      <t xml:space="preserve">" langs de - minder vaak voorkomende </t>
    </r>
    <r>
      <rPr>
        <b/>
        <u/>
        <sz val="11"/>
        <color rgb="FF00B0F0"/>
        <rFont val="Calibri"/>
        <family val="2"/>
        <scheme val="minor"/>
      </rPr>
      <t>LICHT BLAUWE</t>
    </r>
    <r>
      <rPr>
        <sz val="11"/>
        <color theme="1"/>
        <rFont val="Calibri"/>
        <family val="2"/>
        <scheme val="minor"/>
      </rPr>
      <t xml:space="preserve"> velden in het tabblad "</t>
    </r>
    <r>
      <rPr>
        <i/>
        <sz val="11"/>
        <color theme="1"/>
        <rFont val="Calibri"/>
        <family val="2"/>
        <scheme val="minor"/>
      </rPr>
      <t>Alimentatie 20xx-x</t>
    </r>
    <r>
      <rPr>
        <sz val="11"/>
        <color theme="1"/>
        <rFont val="Calibri"/>
        <family val="2"/>
        <scheme val="minor"/>
      </rPr>
      <t>"en vul in de van toepassing zijnde velden de juistte gegevens in (soms is er vooraf rekenwerk nodig)</t>
    </r>
  </si>
  <si>
    <t>1a</t>
  </si>
  <si>
    <t>1b</t>
  </si>
  <si>
    <t>Lees de toelichtingen, opmerkingen en/of aanwijzingen in de kolom "" zorgvuldig.</t>
  </si>
  <si>
    <t>Werk de volgende 3 stappen af:</t>
  </si>
  <si>
    <t>Tabblad "Jusvergelijking"</t>
  </si>
  <si>
    <r>
      <t xml:space="preserve">Als de uitkomsten van de alimentatieberekening kloppen moet in het tabblad "Jusvergelijking" de "Vrije ruimte" van de beide partners nog in evenwicht worden gebracht. Dit door in cel </t>
    </r>
    <r>
      <rPr>
        <b/>
        <u/>
        <sz val="11"/>
        <color theme="1"/>
        <rFont val="Calibri"/>
        <family val="2"/>
        <scheme val="minor"/>
      </rPr>
      <t>H12</t>
    </r>
    <r>
      <rPr>
        <sz val="11"/>
        <color theme="1"/>
        <rFont val="Calibri"/>
        <family val="2"/>
        <scheme val="minor"/>
      </rPr>
      <t xml:space="preserve"> een zodanig alimentatiebedrag in te vullen dat de "Vrije ruimte" in evenwicht is. Een voorzet voor het </t>
    </r>
    <r>
      <rPr>
        <u/>
        <sz val="11"/>
        <color theme="1"/>
        <rFont val="Calibri"/>
        <family val="2"/>
        <scheme val="minor"/>
      </rPr>
      <t>(start)bedrag</t>
    </r>
    <r>
      <rPr>
        <b/>
        <u/>
        <sz val="11"/>
        <color theme="1"/>
        <rFont val="Calibri"/>
        <family val="2"/>
        <scheme val="minor"/>
      </rPr>
      <t xml:space="preserve"> staat in </t>
    </r>
    <r>
      <rPr>
        <u/>
        <sz val="11"/>
        <color theme="1"/>
        <rFont val="Calibri"/>
        <family val="2"/>
        <scheme val="minor"/>
      </rPr>
      <t>cel J14</t>
    </r>
    <r>
      <rPr>
        <b/>
        <u/>
        <sz val="11"/>
        <color theme="1"/>
        <rFont val="Calibri"/>
        <family val="2"/>
        <scheme val="minor"/>
      </rPr>
      <t xml:space="preserve">. </t>
    </r>
  </si>
  <si>
    <r>
      <t>- In het tabblad "</t>
    </r>
    <r>
      <rPr>
        <i/>
        <sz val="11"/>
        <color theme="1"/>
        <rFont val="Calibri"/>
        <family val="2"/>
        <scheme val="minor"/>
      </rPr>
      <t>Samenvatting</t>
    </r>
    <r>
      <rPr>
        <sz val="11"/>
        <color theme="1"/>
        <rFont val="Calibri"/>
        <family val="2"/>
        <scheme val="minor"/>
      </rPr>
      <t xml:space="preserve">" staan de kerngetallen uit de berekening samengevat, samen met de </t>
    </r>
    <r>
      <rPr>
        <b/>
        <u/>
        <sz val="11"/>
        <color theme="1"/>
        <rFont val="Calibri"/>
        <family val="2"/>
        <scheme val="minor"/>
      </rPr>
      <t>(kinder)alimentatie</t>
    </r>
    <r>
      <rPr>
        <sz val="11"/>
        <color theme="1"/>
        <rFont val="Calibri"/>
        <family val="2"/>
        <scheme val="minor"/>
      </rPr>
      <t xml:space="preserve"> bedragen</t>
    </r>
  </si>
  <si>
    <t>- In het tabblad "Kinderalimentatie" staan de details van de kinderalimentatie berekening.</t>
  </si>
  <si>
    <t>- In het tabblad "Wijzijgingen &amp; To Do's" staan de gedane aanpassingen en/of de openstaande punten.</t>
  </si>
  <si>
    <t>- In het tabblad "Keuzelijsten" staan de tabellen met de gegevens voor de keuzelijsten in deze Excel sheet.</t>
  </si>
  <si>
    <t>De overige tabbladen &amp; hun functie</t>
  </si>
  <si>
    <t>Tenslotte:</t>
  </si>
  <si>
    <r>
      <t xml:space="preserve">Bij vragen, wensen of onverhoopte fouten: Mail deze dan samen met je berekening en een eventuele schermafdruk naar: </t>
    </r>
    <r>
      <rPr>
        <u/>
        <sz val="11"/>
        <color theme="1"/>
        <rFont val="Calibri"/>
        <family val="2"/>
        <scheme val="minor"/>
      </rPr>
      <t>info@levennascheiding.nl</t>
    </r>
    <r>
      <rPr>
        <sz val="11"/>
        <color theme="1"/>
        <rFont val="Calibri"/>
        <family val="2"/>
        <scheme val="minor"/>
      </rPr>
      <t xml:space="preserve">. Waar mogelijk en passend ga ik hier dan mee aan de slag! </t>
    </r>
  </si>
  <si>
    <t>Advies</t>
  </si>
  <si>
    <t>ALERT</t>
  </si>
  <si>
    <t>Vragen?</t>
  </si>
  <si>
    <t>Noot:</t>
  </si>
  <si>
    <r>
      <t xml:space="preserve">- Vul eerst de persoonlijke gegevens in in het blok (A3-J20) en bereken tegelijk ook de </t>
    </r>
    <r>
      <rPr>
        <b/>
        <u/>
        <sz val="11"/>
        <color theme="1"/>
        <rFont val="Calibri"/>
        <family val="2"/>
        <scheme val="minor"/>
      </rPr>
      <t>pensioendata</t>
    </r>
    <r>
      <rPr>
        <sz val="11"/>
        <color theme="1"/>
        <rFont val="Calibri"/>
        <family val="2"/>
        <scheme val="minor"/>
      </rPr>
      <t xml:space="preserve"> via de link naar de svb.nl.
- Let ook op het invullen/vastzetten van berekeningsdatum (cel C15)
- Als het om een HERBEREKENING gaat moet je het </t>
    </r>
    <r>
      <rPr>
        <b/>
        <sz val="11"/>
        <color theme="1"/>
        <rFont val="Calibri"/>
        <family val="2"/>
        <scheme val="minor"/>
      </rPr>
      <t>NBI uit het jaar</t>
    </r>
    <r>
      <rPr>
        <sz val="11"/>
        <color theme="1"/>
        <rFont val="Calibri"/>
        <family val="2"/>
        <scheme val="minor"/>
      </rPr>
      <t xml:space="preserve"> van scheiding (cel C20) en het </t>
    </r>
    <r>
      <rPr>
        <b/>
        <sz val="11"/>
        <color theme="1"/>
        <rFont val="Calibri"/>
        <family val="2"/>
        <scheme val="minor"/>
      </rPr>
      <t>scheidingsjaar (cel C19)</t>
    </r>
    <r>
      <rPr>
        <sz val="11"/>
        <color theme="1"/>
        <rFont val="Calibri"/>
        <family val="2"/>
        <scheme val="minor"/>
      </rPr>
      <t xml:space="preserve"> ook invullen. Dit is van belang voor de kinderalimentatie berekening!</t>
    </r>
  </si>
  <si>
    <r>
      <t xml:space="preserve">Vergeet niet om voor de juiste periode (maand / 4-weken) te kiezen bij de inkomenstabellen!
</t>
    </r>
    <r>
      <rPr>
        <sz val="14"/>
        <color theme="1"/>
        <rFont val="Calibri"/>
        <family val="2"/>
        <scheme val="minor"/>
      </rPr>
      <t>Berekenen van eventuele toeslagen (zorg-, huurtoeslag etc.) kan via de link bij het betreffende onderdeel.</t>
    </r>
  </si>
  <si>
    <r>
      <t xml:space="preserve">Lees de toelichtingen, opmerkingen en/of aanwijzingen in de </t>
    </r>
    <r>
      <rPr>
        <b/>
        <u/>
        <sz val="11"/>
        <color theme="1"/>
        <rFont val="Calibri"/>
        <family val="2"/>
        <scheme val="minor"/>
      </rPr>
      <t>kolom "I"</t>
    </r>
    <r>
      <rPr>
        <sz val="11"/>
        <color theme="1"/>
        <rFont val="Calibri"/>
        <family val="2"/>
        <scheme val="minor"/>
      </rPr>
      <t xml:space="preserve"> zorgvuldig.</t>
    </r>
  </si>
  <si>
    <t>Maximumbijdrage-inkomen ZKV in 2019</t>
  </si>
  <si>
    <t>Premie ZKV afdracht over partneralimentatie/AOW</t>
  </si>
  <si>
    <t>= ZKV-grens - (Nr. 41, 43 t/49 + 51 t/m53) * ZKV %</t>
  </si>
  <si>
    <t>Ink.afhankelijke bijdrage premie ZVW (niet AOW)</t>
  </si>
  <si>
    <t>1,754% x arbeidsinkomen (nr. 54 en 70 en 76)</t>
  </si>
  <si>
    <t>= (nr.54 + 70 + 74 - 42)</t>
  </si>
  <si>
    <t>(= incl alimentatie eerdere partner)</t>
  </si>
  <si>
    <t>(= excl alimentatie eerdere partner)</t>
  </si>
  <si>
    <r>
      <t xml:space="preserve">In het jaar van aangifte een </t>
    </r>
    <r>
      <rPr>
        <b/>
        <u/>
        <sz val="10"/>
        <color rgb="FF000000"/>
        <rFont val="Verdana"/>
        <family val="2"/>
      </rPr>
      <t>AOW-uitkering voor een alleenstaande</t>
    </r>
    <r>
      <rPr>
        <sz val="10"/>
        <color rgb="FF000000"/>
        <rFont val="Verdana"/>
        <family val="2"/>
      </rPr>
      <t xml:space="preserve"> krijgt of daar recht op hebt</t>
    </r>
  </si>
  <si>
    <t>Vastgesteld NBI in (eerdere) scheidingsjaar</t>
  </si>
  <si>
    <t>Alimentatieberekening</t>
  </si>
  <si>
    <r>
      <t>- In het tabblad "</t>
    </r>
    <r>
      <rPr>
        <i/>
        <sz val="11"/>
        <color theme="1"/>
        <rFont val="Calibri"/>
        <family val="2"/>
        <scheme val="minor"/>
      </rPr>
      <t>Behoefteberekening</t>
    </r>
    <r>
      <rPr>
        <sz val="11"/>
        <color theme="1"/>
        <rFont val="Calibri"/>
        <family val="2"/>
        <scheme val="minor"/>
      </rPr>
      <t xml:space="preserve">" staan de details van de alimentatieberekening op basis van de </t>
    </r>
    <r>
      <rPr>
        <b/>
        <u/>
        <sz val="11"/>
        <color theme="1"/>
        <rFont val="Calibri"/>
        <family val="2"/>
        <scheme val="minor"/>
      </rPr>
      <t>behoefte</t>
    </r>
    <r>
      <rPr>
        <sz val="11"/>
        <color theme="1"/>
        <rFont val="Calibri"/>
        <family val="2"/>
        <scheme val="minor"/>
      </rPr>
      <t>.</t>
    </r>
  </si>
  <si>
    <t>Draagkrachtpercentage</t>
  </si>
  <si>
    <t>Draagkracht %</t>
  </si>
  <si>
    <r>
      <t xml:space="preserve">Netto </t>
    </r>
    <r>
      <rPr>
        <b/>
        <u/>
        <sz val="11"/>
        <rFont val="Calibri"/>
        <family val="2"/>
        <scheme val="minor"/>
      </rPr>
      <t>aanvullende</t>
    </r>
    <r>
      <rPr>
        <sz val="11"/>
        <rFont val="Calibri"/>
        <family val="2"/>
        <scheme val="minor"/>
      </rPr>
      <t xml:space="preserve"> premie(s) Ziektekosten verzekerig</t>
    </r>
  </si>
  <si>
    <r>
      <t xml:space="preserve">Netto </t>
    </r>
    <r>
      <rPr>
        <b/>
        <u/>
        <sz val="11"/>
        <rFont val="Calibri"/>
        <family val="2"/>
        <scheme val="minor"/>
      </rPr>
      <t>basis</t>
    </r>
    <r>
      <rPr>
        <sz val="11"/>
        <rFont val="Calibri"/>
        <family val="2"/>
        <scheme val="minor"/>
      </rPr>
      <t>premie Ziektekosten verzekerig</t>
    </r>
  </si>
  <si>
    <t>Niet alle kosten zijn aftrekbaar, zie site belastingdienst!</t>
  </si>
  <si>
    <t>De te ontvangen zorgtoeslag wordt in mindering gebracht</t>
  </si>
  <si>
    <t>Als de woonlast - ZONDER GELDIGE REDEN te hoog is (Zie hieronder) mag er een correctie worden toepast, maximaal te hoogte van het onredelijk geachte deel.</t>
  </si>
  <si>
    <t>Als de nieuwe partner voldoende inkomen heeft wordt deze geacht in redelijkheid bij te dragen in de woonlast.</t>
  </si>
  <si>
    <t>De uitkomst wegen en zonodig correctiebedrag hierboven bij  123 invullen.</t>
  </si>
  <si>
    <t>Deze wordt automatisch invuld als er sprake is van een eigen woning !</t>
  </si>
  <si>
    <t>1.1</t>
  </si>
  <si>
    <t>Vakantiegeld telt mee in jaarloon voor post 48?</t>
  </si>
  <si>
    <t>Inkomenstoeslag / Bonus</t>
  </si>
  <si>
    <t>AP</t>
  </si>
  <si>
    <t>AG</t>
  </si>
  <si>
    <t>Bijstandsnorm per 01-07-2019</t>
  </si>
  <si>
    <t>Disclaimer</t>
  </si>
  <si>
    <t>2019 - 2e halfjaar</t>
  </si>
  <si>
    <t>Verzamelinkomen over het kalenderjaar</t>
  </si>
  <si>
    <t>Gebruik liever post 41 t/m 58</t>
  </si>
  <si>
    <t>LET OP: Werken met de posten 41 t/m 58 wordt i.v.m. de zuiverheid van de berekening STERK aanbevolen !!!</t>
  </si>
  <si>
    <r>
      <rPr>
        <b/>
        <u/>
        <sz val="11"/>
        <color rgb="FFFF0000"/>
        <rFont val="Calibri"/>
        <family val="2"/>
        <scheme val="minor"/>
      </rPr>
      <t>Toch deze</t>
    </r>
    <r>
      <rPr>
        <b/>
        <sz val="11"/>
        <color rgb="FFFF0000"/>
        <rFont val="Calibri"/>
        <family val="2"/>
        <scheme val="minor"/>
      </rPr>
      <t xml:space="preserve">? Schoon dan in ieder geval het verzamelinkomen van invloeden als: Auto werkgever, Incidentele inkomsten etc. !!! </t>
    </r>
  </si>
  <si>
    <t>(nr. 59/60) - (nr.61 t/m 63)</t>
  </si>
  <si>
    <t>(nr.59/60 + nr.65 + nr.76 + nr.79 + nr.98 + nr.103)</t>
  </si>
  <si>
    <t>Post 57 verwijderd uit totaalinkomen t.b.v. berekenen Arbeidskorting in Basisgegevens</t>
  </si>
  <si>
    <t>Mogelijkheid om Post 60 "Verzamelinkomen" i.p.v.post 41 t/m 58 te gebruiken toegevoegd</t>
  </si>
  <si>
    <t>De keuzevelden bij post 71 in Basisgegevens konden niet worden gebruikt, dit hersteld</t>
  </si>
  <si>
    <t>Display voorwaarde rond post 141 KA in 'Alimentatie 2019-2'&gt; Bedrag was &lt;=0 is &lt;0 geworden.</t>
  </si>
  <si>
    <t>Eigen aandeel ouders bij NBI &gt; E 6000,- &amp; fixatie op E6000 nam 't laatste ipv hoogste bedrag</t>
  </si>
  <si>
    <t xml:space="preserve">Geschoond verzamelinkomen </t>
  </si>
  <si>
    <t>Namen thuiswonende/studerende kinderen</t>
  </si>
  <si>
    <t>Leeftijdsberekening kinderen o.b.v. opgegeven berekeningsdatum i.p.v. huidige datum</t>
  </si>
  <si>
    <t>Loon volgens jaaropgaaf</t>
  </si>
  <si>
    <r>
      <t xml:space="preserve">Bij gebruik van een jaaropgave, maar dit wordt afgeraden i.v.m. zuiverheid van de berekening. 
</t>
    </r>
    <r>
      <rPr>
        <b/>
        <sz val="11"/>
        <color rgb="FFFF0000"/>
        <rFont val="Calibri"/>
        <family val="2"/>
        <scheme val="minor"/>
      </rPr>
      <t>TIP:</t>
    </r>
    <r>
      <rPr>
        <sz val="11"/>
        <color rgb="FFFF0000"/>
        <rFont val="Calibri"/>
        <family val="2"/>
        <scheme val="minor"/>
      </rPr>
      <t xml:space="preserve"> Bereken het ook altijd door de nr's 41 t/m 58 in te vullen!
==&gt; Dit veld moet dan wel 0 zijn in het blad "Basisgegevens"</t>
    </r>
  </si>
  <si>
    <t>n</t>
  </si>
  <si>
    <t>Berekeningstijdvak</t>
  </si>
  <si>
    <r>
      <t xml:space="preserve">In deze Excel wordt uitgegaan van een werkende die in een "standaard"-scheiding zit. Speciale zaken zoals de invloed van samengestelde gezinnen is hier </t>
    </r>
    <r>
      <rPr>
        <u/>
        <sz val="11"/>
        <color theme="1"/>
        <rFont val="Calibri"/>
        <family val="2"/>
        <scheme val="minor"/>
      </rPr>
      <t>NIET</t>
    </r>
    <r>
      <rPr>
        <sz val="11"/>
        <color theme="1"/>
        <rFont val="Calibri"/>
        <family val="2"/>
        <scheme val="minor"/>
      </rPr>
      <t xml:space="preserve"> in opgenomen. Dit gezien de complexiteit en diversiteit hierin. Vaak is in zo'n situatie ook een deskundige vereist.</t>
    </r>
  </si>
  <si>
    <r>
      <t xml:space="preserve">Is alles helder en oke? Dan wel de dringende aanbeveling om - zeker t.a.v. rechtbankstukken - een </t>
    </r>
    <r>
      <rPr>
        <b/>
        <u/>
        <sz val="14"/>
        <color theme="1"/>
        <rFont val="Calibri"/>
        <family val="2"/>
        <scheme val="minor"/>
      </rPr>
      <t>officiele berekening</t>
    </r>
    <r>
      <rPr>
        <sz val="14"/>
        <color theme="1"/>
        <rFont val="Calibri"/>
        <family val="2"/>
        <scheme val="minor"/>
      </rPr>
      <t xml:space="preserve"> te (laten) maken. 
De mogelijkheden hiervoor tegen </t>
    </r>
    <r>
      <rPr>
        <b/>
        <u/>
        <sz val="14"/>
        <color theme="1"/>
        <rFont val="Calibri"/>
        <family val="2"/>
        <scheme val="minor"/>
      </rPr>
      <t>relatief geringe kosten</t>
    </r>
    <r>
      <rPr>
        <sz val="14"/>
        <color theme="1"/>
        <rFont val="Calibri"/>
        <family val="2"/>
        <scheme val="minor"/>
      </rPr>
      <t xml:space="preserve"> (onder de </t>
    </r>
    <r>
      <rPr>
        <sz val="14"/>
        <color theme="1"/>
        <rFont val="Calibri"/>
        <family val="2"/>
      </rPr>
      <t xml:space="preserve">€ 100,-) </t>
    </r>
    <r>
      <rPr>
        <sz val="14"/>
        <color theme="1"/>
        <rFont val="Calibri"/>
        <family val="2"/>
        <scheme val="minor"/>
      </rPr>
      <t xml:space="preserve">vind je op: </t>
    </r>
    <r>
      <rPr>
        <sz val="14"/>
        <color rgb="FF0070C0"/>
        <rFont val="Calibri"/>
        <family val="2"/>
        <scheme val="minor"/>
      </rPr>
      <t>https://www.levennascheiding.nl</t>
    </r>
    <r>
      <rPr>
        <sz val="14"/>
        <color theme="1"/>
        <rFont val="Calibri"/>
        <family val="2"/>
        <scheme val="minor"/>
      </rPr>
      <t xml:space="preserve">  </t>
    </r>
  </si>
  <si>
    <t>Algemene heffingskorting in 'Behoefteberekening' moet o.b.v. NBI + Berekende Alimentatie</t>
  </si>
  <si>
    <t>Jus-alimentatie (kolom W) in 'Basisgegevens' verwees naar kolom V, dit aangepast naar W</t>
  </si>
  <si>
    <t>In 'Basisgegevens' werd cel Q10 soms verkeerd opgeteld eigen woning(deel) van AG</t>
  </si>
  <si>
    <t xml:space="preserve">Deze gratis Excel sheet is met zorgvuldigheid gemaakt en via proefberekeningen getoetst op juistheid van de verschillende berekeningen. Desondanks is het mogelijk dat er in deze Excel nog onjuistheden en/of onvolkomenheden voorkomen. Noch voor onverhoopte schade etc. als gevolg van onjuistheden en/of onvolkomenheden etc., noch voor problemen bij/door het gebruiken en/of het verspreiden van deze Excel sheet kan ik verantwoording dragen en/of op geen enkele wijze aansprakelijk worden gesteld.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</si>
</sst>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 #,##0;[Red]&quot;€&quot;\ \-#,##0"/>
    <numFmt numFmtId="42" formatCode="_ &quot;€&quot;\ * #,##0_ ;_ &quot;€&quot;\ * \-#,##0_ ;_ &quot;€&quot;\ * &quot;-&quot;_ ;_ @_ "/>
    <numFmt numFmtId="41" formatCode="_ * #,##0_ ;_ * \-#,##0_ ;_ * &quot;-&quot;_ ;_ @_ "/>
    <numFmt numFmtId="44" formatCode="_ &quot;€&quot;\ * #,##0.00_ ;_ &quot;€&quot;\ * \-#,##0.00_ ;_ &quot;€&quot;\ * &quot;-&quot;??_ ;_ @_ "/>
    <numFmt numFmtId="164" formatCode="&quot;€&quot;\ #,##0"/>
    <numFmt numFmtId="165" formatCode="_([$€-2]\ * #,##0_);_([$€-2]\ * \(#,##0\);_([$€-2]\ * &quot;-&quot;_);_(@_)"/>
    <numFmt numFmtId="166" formatCode="_ [$€-413]\ * #,##0.00_ ;_ [$€-413]\ * \-#,##0.00_ ;_ [$€-413]\ * &quot;-&quot;??_ ;_ @_ "/>
    <numFmt numFmtId="167" formatCode="[$-413]d/mmm/yy;@"/>
    <numFmt numFmtId="168" formatCode="0.000%"/>
    <numFmt numFmtId="169" formatCode="0_ ;\-0\ "/>
    <numFmt numFmtId="170" formatCode="dd/mmm/yyyy"/>
    <numFmt numFmtId="171" formatCode="0.000"/>
    <numFmt numFmtId="172" formatCode="#,##0_ ;[Red]\-#,##0\ "/>
    <numFmt numFmtId="173" formatCode="#,##0_ ;\-#,##0\ "/>
    <numFmt numFmtId="174" formatCode="0.0%"/>
    <numFmt numFmtId="175" formatCode="ddd\ dd/mmm/yy"/>
    <numFmt numFmtId="176" formatCode="00.00.00.000"/>
  </numFmts>
  <fonts count="80" x14ac:knownFonts="1">
    <font>
      <sz val="11"/>
      <color theme="1"/>
      <name val="Calibri"/>
      <family val="2"/>
      <scheme val="minor"/>
    </font>
    <font>
      <sz val="10"/>
      <name val="Arial"/>
      <family val="2"/>
    </font>
    <font>
      <b/>
      <u/>
      <sz val="11"/>
      <color theme="1"/>
      <name val="Calibri"/>
      <family val="2"/>
      <scheme val="minor"/>
    </font>
    <font>
      <b/>
      <sz val="11"/>
      <color theme="1"/>
      <name val="Calibri"/>
      <family val="2"/>
      <scheme val="minor"/>
    </font>
    <font>
      <sz val="9"/>
      <color indexed="81"/>
      <name val="Tahoma"/>
      <family val="2"/>
    </font>
    <font>
      <sz val="11"/>
      <color rgb="FFFF0000"/>
      <name val="Calibri"/>
      <family val="2"/>
      <scheme val="minor"/>
    </font>
    <font>
      <u/>
      <sz val="11"/>
      <color theme="1"/>
      <name val="Calibri"/>
      <family val="2"/>
      <scheme val="minor"/>
    </font>
    <font>
      <b/>
      <u/>
      <sz val="14"/>
      <color theme="1"/>
      <name val="Calibri"/>
      <family val="2"/>
      <scheme val="minor"/>
    </font>
    <font>
      <i/>
      <sz val="11"/>
      <color theme="1"/>
      <name val="Calibri"/>
      <family val="2"/>
      <scheme val="minor"/>
    </font>
    <font>
      <sz val="11"/>
      <name val="Calibri"/>
      <family val="2"/>
      <scheme val="minor"/>
    </font>
    <font>
      <b/>
      <sz val="11"/>
      <color rgb="FFFF0000"/>
      <name val="Calibri"/>
      <family val="2"/>
      <scheme val="minor"/>
    </font>
    <font>
      <b/>
      <sz val="11"/>
      <name val="Calibri"/>
      <family val="2"/>
      <scheme val="minor"/>
    </font>
    <font>
      <b/>
      <sz val="9"/>
      <color indexed="81"/>
      <name val="Tahoma"/>
      <family val="2"/>
    </font>
    <font>
      <u/>
      <sz val="11"/>
      <color theme="10"/>
      <name val="Calibri"/>
      <family val="2"/>
      <scheme val="minor"/>
    </font>
    <font>
      <sz val="11"/>
      <color rgb="FF000000"/>
      <name val="Calibri"/>
      <family val="2"/>
      <scheme val="minor"/>
    </font>
    <font>
      <b/>
      <sz val="11"/>
      <color rgb="FF000000"/>
      <name val="Calibri"/>
      <family val="2"/>
      <scheme val="minor"/>
    </font>
    <font>
      <b/>
      <u/>
      <sz val="11"/>
      <color rgb="FFFF0000"/>
      <name val="Calibri"/>
      <family val="2"/>
      <scheme val="minor"/>
    </font>
    <font>
      <b/>
      <sz val="16"/>
      <color theme="1"/>
      <name val="Calibri"/>
      <family val="2"/>
      <scheme val="minor"/>
    </font>
    <font>
      <b/>
      <u/>
      <sz val="11"/>
      <color rgb="FF000000"/>
      <name val="Calibri"/>
      <family val="2"/>
      <scheme val="minor"/>
    </font>
    <font>
      <b/>
      <u/>
      <sz val="11"/>
      <name val="Calibri"/>
      <family val="2"/>
      <scheme val="minor"/>
    </font>
    <font>
      <sz val="10"/>
      <color rgb="FF000000"/>
      <name val="Verdana"/>
      <family val="2"/>
    </font>
    <font>
      <u/>
      <sz val="10"/>
      <color rgb="FF000000"/>
      <name val="Verdana"/>
      <family val="2"/>
    </font>
    <font>
      <b/>
      <u/>
      <sz val="10"/>
      <color rgb="FF000000"/>
      <name val="Verdana"/>
      <family val="2"/>
    </font>
    <font>
      <b/>
      <sz val="18"/>
      <name val="Calibri"/>
      <family val="2"/>
      <scheme val="minor"/>
    </font>
    <font>
      <b/>
      <u/>
      <sz val="14"/>
      <name val="Calibri"/>
      <family val="2"/>
      <scheme val="minor"/>
    </font>
    <font>
      <i/>
      <sz val="11"/>
      <name val="Calibri"/>
      <family val="2"/>
      <scheme val="minor"/>
    </font>
    <font>
      <u/>
      <sz val="11"/>
      <name val="Calibri"/>
      <family val="2"/>
      <scheme val="minor"/>
    </font>
    <font>
      <b/>
      <i/>
      <sz val="11"/>
      <name val="Calibri"/>
      <family val="2"/>
      <scheme val="minor"/>
    </font>
    <font>
      <b/>
      <u/>
      <sz val="12"/>
      <color theme="1"/>
      <name val="Calibri"/>
      <family val="2"/>
      <scheme val="minor"/>
    </font>
    <font>
      <i/>
      <sz val="11"/>
      <color rgb="FFFF0000"/>
      <name val="Calibri"/>
      <family val="2"/>
      <scheme val="minor"/>
    </font>
    <font>
      <sz val="11"/>
      <color theme="0" tint="-0.34998626667073579"/>
      <name val="Calibri"/>
      <family val="2"/>
      <scheme val="minor"/>
    </font>
    <font>
      <b/>
      <u/>
      <sz val="11"/>
      <color theme="0" tint="-0.34998626667073579"/>
      <name val="Calibri"/>
      <family val="2"/>
      <scheme val="minor"/>
    </font>
    <font>
      <b/>
      <sz val="11"/>
      <color theme="0" tint="-0.34998626667073579"/>
      <name val="Calibri"/>
      <family val="2"/>
      <scheme val="minor"/>
    </font>
    <font>
      <b/>
      <sz val="14"/>
      <color theme="1"/>
      <name val="Calibri"/>
      <family val="2"/>
      <scheme val="minor"/>
    </font>
    <font>
      <b/>
      <sz val="14"/>
      <color theme="0"/>
      <name val="Calibri"/>
      <family val="2"/>
      <scheme val="minor"/>
    </font>
    <font>
      <sz val="14"/>
      <color theme="1"/>
      <name val="Calibri"/>
      <family val="2"/>
      <scheme val="minor"/>
    </font>
    <font>
      <b/>
      <u val="singleAccounting"/>
      <sz val="11"/>
      <color theme="1"/>
      <name val="Calibri"/>
      <family val="2"/>
      <scheme val="minor"/>
    </font>
    <font>
      <b/>
      <sz val="11"/>
      <color theme="0"/>
      <name val="Calibri"/>
      <family val="2"/>
      <scheme val="minor"/>
    </font>
    <font>
      <b/>
      <i/>
      <sz val="11"/>
      <color theme="1"/>
      <name val="Calibri"/>
      <family val="2"/>
      <scheme val="minor"/>
    </font>
    <font>
      <sz val="16"/>
      <name val="Calibri"/>
      <family val="2"/>
      <scheme val="minor"/>
    </font>
    <font>
      <b/>
      <sz val="16"/>
      <name val="Calibri"/>
      <family val="2"/>
      <scheme val="minor"/>
    </font>
    <font>
      <b/>
      <u/>
      <sz val="16"/>
      <color theme="1"/>
      <name val="Calibri"/>
      <family val="2"/>
      <scheme val="minor"/>
    </font>
    <font>
      <b/>
      <u/>
      <sz val="12"/>
      <name val="Calibri"/>
      <family val="2"/>
      <scheme val="minor"/>
    </font>
    <font>
      <sz val="12"/>
      <color theme="1"/>
      <name val="Calibri"/>
      <family val="2"/>
      <scheme val="minor"/>
    </font>
    <font>
      <b/>
      <sz val="14"/>
      <name val="Calibri"/>
      <family val="2"/>
      <scheme val="minor"/>
    </font>
    <font>
      <b/>
      <sz val="12"/>
      <color theme="1"/>
      <name val="Calibri"/>
      <family val="2"/>
      <scheme val="minor"/>
    </font>
    <font>
      <sz val="6"/>
      <color theme="1"/>
      <name val="Calibri"/>
      <family val="2"/>
      <scheme val="minor"/>
    </font>
    <font>
      <b/>
      <u/>
      <sz val="16"/>
      <name val="Calibri"/>
      <family val="2"/>
      <scheme val="minor"/>
    </font>
    <font>
      <b/>
      <sz val="12"/>
      <name val="Calibri"/>
      <family val="2"/>
      <scheme val="minor"/>
    </font>
    <font>
      <sz val="11"/>
      <color theme="0"/>
      <name val="Calibri"/>
      <family val="2"/>
      <scheme val="minor"/>
    </font>
    <font>
      <b/>
      <u/>
      <sz val="18"/>
      <color theme="1"/>
      <name val="Calibri"/>
      <family val="2"/>
      <scheme val="minor"/>
    </font>
    <font>
      <u val="singleAccounting"/>
      <sz val="11"/>
      <color theme="1"/>
      <name val="Calibri"/>
      <family val="2"/>
      <scheme val="minor"/>
    </font>
    <font>
      <sz val="11"/>
      <color theme="1"/>
      <name val="Calibri"/>
      <family val="2"/>
      <scheme val="minor"/>
    </font>
    <font>
      <u/>
      <sz val="12"/>
      <color theme="10"/>
      <name val="Calibri"/>
      <family val="2"/>
      <scheme val="minor"/>
    </font>
    <font>
      <sz val="11"/>
      <color rgb="FF202020"/>
      <name val="Calibri"/>
      <family val="2"/>
      <scheme val="minor"/>
    </font>
    <font>
      <b/>
      <u/>
      <sz val="11"/>
      <color rgb="FF00B0F0"/>
      <name val="Calibri"/>
      <family val="2"/>
      <scheme val="minor"/>
    </font>
    <font>
      <sz val="15"/>
      <color theme="1"/>
      <name val="Calibri"/>
      <family val="2"/>
      <scheme val="minor"/>
    </font>
    <font>
      <b/>
      <u/>
      <sz val="15"/>
      <color theme="1"/>
      <name val="Calibri"/>
      <family val="2"/>
      <scheme val="minor"/>
    </font>
    <font>
      <b/>
      <u/>
      <sz val="11"/>
      <color rgb="FFFFC000"/>
      <name val="Calibri"/>
      <family val="2"/>
      <scheme val="minor"/>
    </font>
    <font>
      <sz val="11"/>
      <color theme="1"/>
      <name val="Calibri"/>
      <family val="2"/>
    </font>
    <font>
      <b/>
      <u/>
      <sz val="11"/>
      <color rgb="FF92D050"/>
      <name val="Calibri"/>
      <family val="2"/>
      <scheme val="minor"/>
    </font>
    <font>
      <b/>
      <u/>
      <sz val="11"/>
      <color theme="0" tint="-0.249977111117893"/>
      <name val="Calibri"/>
      <family val="2"/>
      <scheme val="minor"/>
    </font>
    <font>
      <sz val="11"/>
      <color theme="8"/>
      <name val="Calibri"/>
      <family val="2"/>
      <scheme val="minor"/>
    </font>
    <font>
      <b/>
      <sz val="11"/>
      <color theme="8" tint="-0.249977111117893"/>
      <name val="Calibri"/>
      <family val="2"/>
      <scheme val="minor"/>
    </font>
    <font>
      <b/>
      <sz val="20"/>
      <color rgb="FFFF0000"/>
      <name val="Calibri"/>
      <family val="2"/>
      <scheme val="minor"/>
    </font>
    <font>
      <b/>
      <i/>
      <u/>
      <sz val="12"/>
      <color rgb="FFFF0000"/>
      <name val="Calibri"/>
      <family val="2"/>
      <scheme val="minor"/>
    </font>
    <font>
      <u/>
      <sz val="10"/>
      <color theme="10"/>
      <name val="Calibri"/>
      <family val="2"/>
      <scheme val="minor"/>
    </font>
    <font>
      <b/>
      <sz val="10"/>
      <color theme="1"/>
      <name val="Calibri"/>
      <family val="2"/>
      <scheme val="minor"/>
    </font>
    <font>
      <sz val="10"/>
      <color theme="1"/>
      <name val="Calibri"/>
      <family val="2"/>
      <scheme val="minor"/>
    </font>
    <font>
      <b/>
      <u/>
      <sz val="14"/>
      <color rgb="FFFF0000"/>
      <name val="Calibri"/>
      <family val="2"/>
      <scheme val="minor"/>
    </font>
    <font>
      <sz val="7.7"/>
      <color theme="1"/>
      <name val="Calibri"/>
      <family val="2"/>
    </font>
    <font>
      <b/>
      <sz val="14"/>
      <color rgb="FF00B050"/>
      <name val="Calibri"/>
      <family val="2"/>
      <scheme val="minor"/>
    </font>
    <font>
      <b/>
      <strike/>
      <sz val="11"/>
      <color rgb="FFFF0000"/>
      <name val="Calibri"/>
      <family val="2"/>
      <scheme val="minor"/>
    </font>
    <font>
      <strike/>
      <sz val="11"/>
      <color rgb="FFFF0000"/>
      <name val="Calibri"/>
      <family val="2"/>
      <scheme val="minor"/>
    </font>
    <font>
      <b/>
      <strike/>
      <sz val="11"/>
      <color theme="1"/>
      <name val="Calibri"/>
      <family val="2"/>
      <scheme val="minor"/>
    </font>
    <font>
      <i/>
      <u/>
      <sz val="11"/>
      <color theme="1"/>
      <name val="Calibri"/>
      <family val="2"/>
      <scheme val="minor"/>
    </font>
    <font>
      <b/>
      <u/>
      <sz val="11"/>
      <color theme="5" tint="0.59999389629810485"/>
      <name val="Calibri"/>
      <family val="2"/>
      <scheme val="minor"/>
    </font>
    <font>
      <b/>
      <u/>
      <sz val="11"/>
      <color rgb="FFFFFF00"/>
      <name val="Calibri"/>
      <family val="2"/>
      <scheme val="minor"/>
    </font>
    <font>
      <sz val="14"/>
      <color theme="1"/>
      <name val="Calibri"/>
      <family val="2"/>
    </font>
    <font>
      <sz val="14"/>
      <color rgb="FF0070C0"/>
      <name val="Calibri"/>
      <family val="2"/>
      <scheme val="minor"/>
    </font>
  </fonts>
  <fills count="2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FF0000"/>
        <bgColor indexed="64"/>
      </patternFill>
    </fill>
    <fill>
      <patternFill patternType="solid">
        <fgColor rgb="FF00B0F0"/>
        <bgColor indexed="64"/>
      </patternFill>
    </fill>
    <fill>
      <patternFill patternType="solid">
        <fgColor rgb="FFFCFCFC"/>
        <bgColor indexed="64"/>
      </patternFill>
    </fill>
    <fill>
      <patternFill patternType="solid">
        <fgColor rgb="FFFFFFFF"/>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1"/>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FFFF99"/>
        <bgColor indexed="64"/>
      </patternFill>
    </fill>
    <fill>
      <patternFill patternType="solid">
        <fgColor theme="4"/>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39997558519241921"/>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right/>
      <top/>
      <bottom style="thin">
        <color indexed="64"/>
      </bottom>
      <diagonal/>
    </border>
    <border>
      <left/>
      <right style="medium">
        <color indexed="64"/>
      </right>
      <top style="thin">
        <color indexed="64"/>
      </top>
      <bottom/>
      <diagonal/>
    </border>
    <border>
      <left style="medium">
        <color rgb="FFFF0000"/>
      </left>
      <right style="medium">
        <color rgb="FFFF0000"/>
      </right>
      <top style="medium">
        <color rgb="FFFF0000"/>
      </top>
      <bottom/>
      <diagonal/>
    </border>
    <border>
      <left style="medium">
        <color rgb="FFFF0000"/>
      </left>
      <right/>
      <top/>
      <bottom/>
      <diagonal/>
    </border>
    <border>
      <left style="medium">
        <color rgb="FFFF0000"/>
      </left>
      <right/>
      <top/>
      <bottom style="medium">
        <color rgb="FFFF0000"/>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style="medium">
        <color indexed="64"/>
      </top>
      <bottom/>
      <diagonal/>
    </border>
    <border>
      <left style="thin">
        <color indexed="64"/>
      </left>
      <right style="medium">
        <color indexed="64"/>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right style="medium">
        <color rgb="FFFF0000"/>
      </right>
      <top/>
      <bottom/>
      <diagonal/>
    </border>
    <border>
      <left/>
      <right/>
      <top/>
      <bottom style="medium">
        <color rgb="FFFF0000"/>
      </bottom>
      <diagonal/>
    </border>
    <border>
      <left/>
      <right style="medium">
        <color rgb="FFFF0000"/>
      </right>
      <top/>
      <bottom style="medium">
        <color rgb="FFFF0000"/>
      </bottom>
      <diagonal/>
    </border>
  </borders>
  <cellStyleXfs count="3">
    <xf numFmtId="0" fontId="0" fillId="0" borderId="0"/>
    <xf numFmtId="0" fontId="1" fillId="0" borderId="0"/>
    <xf numFmtId="0" fontId="13" fillId="0" borderId="0" applyNumberFormat="0" applyFill="0" applyBorder="0" applyAlignment="0" applyProtection="0"/>
  </cellStyleXfs>
  <cellXfs count="2450">
    <xf numFmtId="0" fontId="0" fillId="0" borderId="0" xfId="0"/>
    <xf numFmtId="0" fontId="0" fillId="0" borderId="0" xfId="0" applyAlignment="1">
      <alignment vertical="top"/>
    </xf>
    <xf numFmtId="0" fontId="0" fillId="0" borderId="0" xfId="0" applyAlignment="1">
      <alignment vertical="center"/>
    </xf>
    <xf numFmtId="0" fontId="3" fillId="0" borderId="0" xfId="0" applyFont="1" applyAlignment="1">
      <alignment horizontal="center" vertical="center"/>
    </xf>
    <xf numFmtId="0" fontId="2" fillId="0" borderId="0" xfId="0" applyFont="1"/>
    <xf numFmtId="0" fontId="3" fillId="2" borderId="36"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2" fillId="0" borderId="0" xfId="0" applyFont="1" applyFill="1" applyBorder="1" applyAlignment="1">
      <alignment horizontal="left"/>
    </xf>
    <xf numFmtId="0" fontId="14" fillId="0" borderId="1" xfId="0" applyFont="1" applyBorder="1" applyAlignment="1">
      <alignment horizontal="center" vertical="center" wrapText="1"/>
    </xf>
    <xf numFmtId="0" fontId="14" fillId="0" borderId="17" xfId="0" applyFont="1" applyBorder="1" applyAlignment="1">
      <alignment horizontal="center" vertical="center" wrapText="1"/>
    </xf>
    <xf numFmtId="0" fontId="15" fillId="2" borderId="5" xfId="0" applyFont="1" applyFill="1" applyBorder="1" applyAlignment="1">
      <alignment horizontal="center" vertical="center" wrapText="1"/>
    </xf>
    <xf numFmtId="0" fontId="14" fillId="0" borderId="3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18" xfId="0" applyFont="1" applyBorder="1" applyAlignment="1">
      <alignment horizontal="center" vertical="center" wrapText="1"/>
    </xf>
    <xf numFmtId="0" fontId="0" fillId="0" borderId="26" xfId="0" applyBorder="1"/>
    <xf numFmtId="0" fontId="15" fillId="2" borderId="4"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3" fillId="3" borderId="45" xfId="0" applyFont="1" applyFill="1" applyBorder="1" applyAlignment="1">
      <alignment horizontal="center"/>
    </xf>
    <xf numFmtId="0" fontId="3" fillId="3" borderId="46" xfId="0" applyFont="1" applyFill="1" applyBorder="1" applyAlignment="1">
      <alignment horizontal="center"/>
    </xf>
    <xf numFmtId="0" fontId="3" fillId="3" borderId="47" xfId="0" applyFont="1" applyFill="1" applyBorder="1" applyAlignment="1">
      <alignment horizontal="center"/>
    </xf>
    <xf numFmtId="10" fontId="14" fillId="0" borderId="1" xfId="0" applyNumberFormat="1" applyFont="1" applyFill="1" applyBorder="1" applyAlignment="1">
      <alignment horizontal="center" vertical="center"/>
    </xf>
    <xf numFmtId="10" fontId="14" fillId="0" borderId="20" xfId="0" applyNumberFormat="1" applyFont="1" applyFill="1" applyBorder="1" applyAlignment="1">
      <alignment horizontal="center" vertical="center"/>
    </xf>
    <xf numFmtId="0" fontId="3" fillId="2" borderId="3" xfId="0" applyFont="1" applyFill="1" applyBorder="1" applyAlignment="1">
      <alignment horizontal="center" vertical="center"/>
    </xf>
    <xf numFmtId="0" fontId="0" fillId="0" borderId="56" xfId="0" applyBorder="1"/>
    <xf numFmtId="0" fontId="0" fillId="0" borderId="54" xfId="0" applyBorder="1"/>
    <xf numFmtId="0" fontId="0" fillId="0" borderId="26" xfId="0" applyBorder="1" applyAlignment="1">
      <alignment horizontal="center"/>
    </xf>
    <xf numFmtId="0" fontId="0" fillId="0" borderId="15" xfId="0" applyBorder="1" applyAlignment="1">
      <alignment horizontal="center"/>
    </xf>
    <xf numFmtId="44" fontId="9" fillId="0" borderId="1" xfId="0" applyNumberFormat="1" applyFont="1" applyBorder="1" applyAlignment="1">
      <alignment vertical="center"/>
    </xf>
    <xf numFmtId="44" fontId="9" fillId="0" borderId="20" xfId="0" applyNumberFormat="1" applyFont="1" applyBorder="1" applyAlignment="1">
      <alignment vertical="center"/>
    </xf>
    <xf numFmtId="44" fontId="14" fillId="0" borderId="33" xfId="0" applyNumberFormat="1" applyFont="1" applyFill="1" applyBorder="1" applyAlignment="1">
      <alignment horizontal="center" vertical="center"/>
    </xf>
    <xf numFmtId="44" fontId="14" fillId="0" borderId="11" xfId="0" applyNumberFormat="1" applyFont="1" applyBorder="1" applyAlignment="1">
      <alignment vertical="center"/>
    </xf>
    <xf numFmtId="44" fontId="14" fillId="0" borderId="11" xfId="0" applyNumberFormat="1" applyFont="1" applyBorder="1" applyAlignment="1">
      <alignment vertical="center" wrapText="1"/>
    </xf>
    <xf numFmtId="44" fontId="14" fillId="0" borderId="1" xfId="0" applyNumberFormat="1" applyFont="1" applyBorder="1" applyAlignment="1">
      <alignment vertical="center"/>
    </xf>
    <xf numFmtId="44" fontId="14" fillId="0" borderId="20" xfId="0" applyNumberFormat="1" applyFont="1" applyBorder="1" applyAlignment="1">
      <alignment vertical="center" wrapText="1"/>
    </xf>
    <xf numFmtId="0" fontId="14" fillId="0" borderId="0" xfId="0" applyFont="1" applyAlignment="1">
      <alignment horizontal="center" vertical="center"/>
    </xf>
    <xf numFmtId="0" fontId="18" fillId="0" borderId="0" xfId="0" applyFont="1" applyAlignment="1">
      <alignment horizontal="left" vertical="center"/>
    </xf>
    <xf numFmtId="0" fontId="15" fillId="2" borderId="60" xfId="0" applyFont="1" applyFill="1" applyBorder="1" applyAlignment="1">
      <alignment horizontal="center" vertical="center"/>
    </xf>
    <xf numFmtId="0" fontId="15" fillId="2" borderId="61" xfId="0" applyFont="1" applyFill="1" applyBorder="1" applyAlignment="1">
      <alignment horizontal="center" vertical="center"/>
    </xf>
    <xf numFmtId="44" fontId="14" fillId="0" borderId="1" xfId="0" applyNumberFormat="1" applyFont="1" applyBorder="1" applyAlignment="1">
      <alignment vertical="center" wrapText="1"/>
    </xf>
    <xf numFmtId="168" fontId="14" fillId="0" borderId="38" xfId="0" applyNumberFormat="1" applyFont="1" applyFill="1" applyBorder="1" applyAlignment="1">
      <alignment horizontal="center" vertical="center" wrapText="1"/>
    </xf>
    <xf numFmtId="168" fontId="14" fillId="0" borderId="37" xfId="0" applyNumberFormat="1" applyFont="1" applyFill="1" applyBorder="1" applyAlignment="1">
      <alignment horizontal="center" vertical="center" wrapText="1"/>
    </xf>
    <xf numFmtId="168" fontId="14" fillId="0" borderId="39" xfId="0" applyNumberFormat="1" applyFont="1" applyFill="1" applyBorder="1" applyAlignment="1">
      <alignment horizontal="center" vertical="center" wrapText="1"/>
    </xf>
    <xf numFmtId="0" fontId="3" fillId="3" borderId="8" xfId="0" applyFont="1" applyFill="1" applyBorder="1" applyAlignment="1">
      <alignment horizontal="center"/>
    </xf>
    <xf numFmtId="0" fontId="3" fillId="3" borderId="9" xfId="0" applyFont="1" applyFill="1" applyBorder="1" applyAlignment="1">
      <alignment horizontal="center"/>
    </xf>
    <xf numFmtId="0" fontId="3" fillId="3" borderId="26" xfId="0" applyFont="1" applyFill="1" applyBorder="1" applyAlignment="1">
      <alignment horizontal="center"/>
    </xf>
    <xf numFmtId="0" fontId="3" fillId="2" borderId="28" xfId="0" applyFont="1" applyFill="1" applyBorder="1" applyAlignment="1">
      <alignment horizontal="center" vertical="center" wrapText="1"/>
    </xf>
    <xf numFmtId="0" fontId="0" fillId="0" borderId="0" xfId="0" applyAlignment="1">
      <alignment horizontal="center" vertical="center"/>
    </xf>
    <xf numFmtId="0" fontId="0" fillId="12" borderId="3" xfId="0" applyFill="1" applyBorder="1" applyAlignment="1">
      <alignment horizontal="center" vertical="center"/>
    </xf>
    <xf numFmtId="0" fontId="0" fillId="0" borderId="0" xfId="0" quotePrefix="1" applyAlignment="1">
      <alignment horizontal="left" vertical="center"/>
    </xf>
    <xf numFmtId="0" fontId="0" fillId="0" borderId="0" xfId="0" quotePrefix="1" applyFill="1" applyBorder="1" applyAlignment="1">
      <alignment horizontal="left" vertical="center"/>
    </xf>
    <xf numFmtId="0" fontId="13" fillId="0" borderId="0" xfId="2" applyAlignment="1">
      <alignment vertical="center"/>
    </xf>
    <xf numFmtId="44" fontId="3" fillId="0" borderId="0" xfId="0" applyNumberFormat="1" applyFont="1" applyAlignment="1">
      <alignment vertical="center"/>
    </xf>
    <xf numFmtId="44" fontId="0" fillId="0" borderId="0" xfId="0" applyNumberFormat="1" applyAlignment="1">
      <alignment vertical="center"/>
    </xf>
    <xf numFmtId="44" fontId="3" fillId="2" borderId="3" xfId="0" applyNumberFormat="1" applyFont="1" applyFill="1" applyBorder="1" applyAlignment="1">
      <alignment horizontal="center" vertical="center"/>
    </xf>
    <xf numFmtId="0" fontId="0" fillId="0" borderId="0" xfId="0" applyAlignment="1">
      <alignment horizontal="right" vertical="center"/>
    </xf>
    <xf numFmtId="0" fontId="19" fillId="0" borderId="0" xfId="0" applyFont="1" applyAlignment="1">
      <alignment horizontal="left" vertical="center"/>
    </xf>
    <xf numFmtId="0" fontId="13" fillId="0" borderId="0" xfId="2" applyFill="1" applyBorder="1" applyAlignment="1">
      <alignment horizontal="left" vertical="center"/>
    </xf>
    <xf numFmtId="0" fontId="9" fillId="0" borderId="0" xfId="0" applyFont="1" applyFill="1" applyBorder="1" applyAlignment="1">
      <alignment vertical="center"/>
    </xf>
    <xf numFmtId="44" fontId="3" fillId="2" borderId="48" xfId="0" applyNumberFormat="1" applyFont="1" applyFill="1" applyBorder="1" applyAlignment="1">
      <alignment horizontal="center" vertical="center"/>
    </xf>
    <xf numFmtId="0" fontId="0" fillId="0" borderId="8" xfId="0" applyBorder="1" applyAlignment="1">
      <alignment horizontal="center" vertical="center"/>
    </xf>
    <xf numFmtId="0" fontId="0" fillId="0" borderId="34" xfId="0" applyBorder="1" applyAlignment="1">
      <alignment horizontal="center" vertical="center"/>
    </xf>
    <xf numFmtId="42" fontId="0" fillId="0" borderId="1" xfId="0" applyNumberFormat="1" applyBorder="1" applyAlignment="1">
      <alignment horizontal="center" vertical="center"/>
    </xf>
    <xf numFmtId="10" fontId="0" fillId="0" borderId="1" xfId="0" applyNumberFormat="1" applyBorder="1" applyAlignment="1">
      <alignment horizontal="center" vertical="center"/>
    </xf>
    <xf numFmtId="0" fontId="0" fillId="0" borderId="26" xfId="0" applyBorder="1" applyAlignment="1">
      <alignment horizontal="center" vertical="center"/>
    </xf>
    <xf numFmtId="0" fontId="0" fillId="0" borderId="35" xfId="0" applyBorder="1" applyAlignment="1">
      <alignment horizontal="center" vertical="center"/>
    </xf>
    <xf numFmtId="42" fontId="0" fillId="0" borderId="20" xfId="0" applyNumberFormat="1" applyBorder="1" applyAlignment="1">
      <alignment horizontal="center" vertical="center"/>
    </xf>
    <xf numFmtId="10" fontId="0" fillId="0" borderId="20" xfId="0" applyNumberFormat="1" applyBorder="1" applyAlignment="1">
      <alignment horizontal="center" vertical="center"/>
    </xf>
    <xf numFmtId="42" fontId="0" fillId="0" borderId="39" xfId="0" applyNumberFormat="1" applyBorder="1" applyAlignment="1">
      <alignment horizontal="center" vertical="center"/>
    </xf>
    <xf numFmtId="0" fontId="13" fillId="0" borderId="0" xfId="2" applyAlignment="1">
      <alignment horizontal="left" vertical="center"/>
    </xf>
    <xf numFmtId="0" fontId="11" fillId="0" borderId="0" xfId="0" applyFont="1" applyAlignment="1">
      <alignment vertical="center"/>
    </xf>
    <xf numFmtId="165" fontId="0" fillId="0" borderId="0" xfId="0" applyNumberFormat="1" applyFill="1" applyBorder="1" applyAlignment="1">
      <alignment horizontal="center" vertical="center"/>
    </xf>
    <xf numFmtId="44" fontId="3" fillId="3" borderId="24" xfId="0" applyNumberFormat="1" applyFont="1" applyFill="1" applyBorder="1" applyAlignment="1">
      <alignment horizontal="center" vertical="center"/>
    </xf>
    <xf numFmtId="0" fontId="2" fillId="0" borderId="0" xfId="0" applyFont="1" applyAlignment="1">
      <alignment horizontal="left" vertical="center"/>
    </xf>
    <xf numFmtId="42" fontId="3" fillId="12" borderId="8" xfId="0" applyNumberFormat="1" applyFont="1" applyFill="1" applyBorder="1" applyAlignment="1">
      <alignment horizontal="center" vertical="center"/>
    </xf>
    <xf numFmtId="44" fontId="3" fillId="12" borderId="9" xfId="0" applyNumberFormat="1" applyFont="1" applyFill="1" applyBorder="1" applyAlignment="1">
      <alignment horizontal="center" vertical="center"/>
    </xf>
    <xf numFmtId="0" fontId="3" fillId="2" borderId="61" xfId="0" applyFont="1" applyFill="1" applyBorder="1" applyAlignment="1">
      <alignment horizontal="center" vertical="center"/>
    </xf>
    <xf numFmtId="0" fontId="3" fillId="2" borderId="22" xfId="0" applyFont="1" applyFill="1" applyBorder="1" applyAlignment="1">
      <alignment horizontal="center" vertical="center"/>
    </xf>
    <xf numFmtId="168" fontId="0" fillId="0" borderId="38" xfId="0" applyNumberFormat="1" applyBorder="1" applyAlignment="1">
      <alignment horizontal="center" vertical="center"/>
    </xf>
    <xf numFmtId="168" fontId="0" fillId="0" borderId="37" xfId="0" applyNumberFormat="1" applyBorder="1" applyAlignment="1">
      <alignment horizontal="center" vertical="center"/>
    </xf>
    <xf numFmtId="44" fontId="3" fillId="12" borderId="26" xfId="0" applyNumberFormat="1" applyFont="1" applyFill="1" applyBorder="1" applyAlignment="1">
      <alignment horizontal="center" vertical="center"/>
    </xf>
    <xf numFmtId="168" fontId="0" fillId="0" borderId="39" xfId="0" applyNumberFormat="1" applyBorder="1" applyAlignment="1">
      <alignment horizontal="center" vertical="center"/>
    </xf>
    <xf numFmtId="44" fontId="0" fillId="0" borderId="21" xfId="0" applyNumberFormat="1" applyBorder="1" applyAlignment="1">
      <alignment horizontal="center" vertical="center"/>
    </xf>
    <xf numFmtId="44" fontId="3" fillId="3" borderId="59" xfId="0" applyNumberFormat="1" applyFont="1" applyFill="1" applyBorder="1" applyAlignment="1">
      <alignment horizontal="center" vertical="center"/>
    </xf>
    <xf numFmtId="0" fontId="14" fillId="0" borderId="31" xfId="0" applyFont="1" applyFill="1" applyBorder="1" applyAlignment="1">
      <alignment horizontal="left" vertical="center" wrapText="1"/>
    </xf>
    <xf numFmtId="44" fontId="0" fillId="0" borderId="1" xfId="0" applyNumberFormat="1" applyBorder="1" applyAlignment="1">
      <alignment horizontal="center" vertical="center"/>
    </xf>
    <xf numFmtId="0" fontId="14" fillId="0" borderId="58" xfId="0" applyFont="1" applyFill="1" applyBorder="1" applyAlignment="1">
      <alignment horizontal="left" vertical="center" wrapText="1"/>
    </xf>
    <xf numFmtId="0" fontId="14" fillId="0" borderId="32" xfId="0" applyFont="1" applyFill="1" applyBorder="1" applyAlignment="1">
      <alignment horizontal="left" vertical="center" wrapText="1"/>
    </xf>
    <xf numFmtId="44" fontId="3" fillId="3" borderId="36" xfId="0" applyNumberFormat="1" applyFont="1" applyFill="1" applyBorder="1" applyAlignment="1">
      <alignment horizontal="center" vertical="center"/>
    </xf>
    <xf numFmtId="44" fontId="3" fillId="3" borderId="5" xfId="0" applyNumberFormat="1" applyFont="1" applyFill="1" applyBorder="1" applyAlignment="1">
      <alignment horizontal="center" vertical="center"/>
    </xf>
    <xf numFmtId="44" fontId="0" fillId="0" borderId="33" xfId="0" applyNumberFormat="1" applyFill="1" applyBorder="1" applyAlignment="1">
      <alignment horizontal="center" vertical="center"/>
    </xf>
    <xf numFmtId="44" fontId="0" fillId="0" borderId="12" xfId="0" applyNumberFormat="1" applyFill="1" applyBorder="1" applyAlignment="1">
      <alignment horizontal="center" vertical="center"/>
    </xf>
    <xf numFmtId="0" fontId="3" fillId="2" borderId="23" xfId="0" applyFont="1" applyFill="1" applyBorder="1" applyAlignment="1">
      <alignment horizontal="center" vertical="center"/>
    </xf>
    <xf numFmtId="44" fontId="3" fillId="12" borderId="24" xfId="0" applyNumberFormat="1" applyFont="1" applyFill="1" applyBorder="1" applyAlignment="1">
      <alignment horizontal="center" vertical="center"/>
    </xf>
    <xf numFmtId="0" fontId="0" fillId="0" borderId="0" xfId="0" applyBorder="1" applyAlignment="1">
      <alignment horizontal="center" vertical="center"/>
    </xf>
    <xf numFmtId="44" fontId="0" fillId="0" borderId="0" xfId="0" applyNumberFormat="1" applyFill="1" applyBorder="1" applyAlignment="1">
      <alignment vertical="center"/>
    </xf>
    <xf numFmtId="0" fontId="18" fillId="0" borderId="0" xfId="0" applyFont="1" applyFill="1" applyAlignment="1">
      <alignment horizontal="left" vertical="center"/>
    </xf>
    <xf numFmtId="0" fontId="0" fillId="0" borderId="56" xfId="0" applyBorder="1" applyAlignment="1">
      <alignment vertical="top" wrapText="1"/>
    </xf>
    <xf numFmtId="0" fontId="0" fillId="0" borderId="54" xfId="0" applyBorder="1" applyAlignment="1">
      <alignment vertical="top" wrapText="1"/>
    </xf>
    <xf numFmtId="0" fontId="0" fillId="0" borderId="54" xfId="0" applyFill="1" applyBorder="1" applyAlignment="1">
      <alignment vertical="top" wrapText="1"/>
    </xf>
    <xf numFmtId="44" fontId="0" fillId="0" borderId="8" xfId="0" applyNumberFormat="1" applyBorder="1" applyAlignment="1">
      <alignment horizontal="center" vertical="center"/>
    </xf>
    <xf numFmtId="44" fontId="0" fillId="0" borderId="26" xfId="0" applyNumberFormat="1" applyBorder="1" applyAlignment="1">
      <alignment horizontal="center" vertical="center"/>
    </xf>
    <xf numFmtId="44" fontId="3" fillId="3" borderId="3" xfId="0" applyNumberFormat="1" applyFont="1" applyFill="1" applyBorder="1" applyAlignment="1">
      <alignment vertical="center"/>
    </xf>
    <xf numFmtId="44" fontId="3" fillId="2" borderId="50" xfId="0" applyNumberFormat="1" applyFont="1" applyFill="1" applyBorder="1" applyAlignment="1">
      <alignment horizontal="center" vertical="center"/>
    </xf>
    <xf numFmtId="44" fontId="3" fillId="3" borderId="45" xfId="0" applyNumberFormat="1" applyFont="1" applyFill="1" applyBorder="1" applyAlignment="1">
      <alignment vertical="center"/>
    </xf>
    <xf numFmtId="44" fontId="3" fillId="3" borderId="46" xfId="0" applyNumberFormat="1" applyFont="1" applyFill="1" applyBorder="1" applyAlignment="1">
      <alignment vertical="center"/>
    </xf>
    <xf numFmtId="44" fontId="3" fillId="3" borderId="47" xfId="0" applyNumberFormat="1" applyFont="1" applyFill="1" applyBorder="1" applyAlignment="1">
      <alignment vertical="center"/>
    </xf>
    <xf numFmtId="44" fontId="3" fillId="3" borderId="31" xfId="0" applyNumberFormat="1" applyFont="1" applyFill="1" applyBorder="1" applyAlignment="1">
      <alignment vertical="center"/>
    </xf>
    <xf numFmtId="0" fontId="15" fillId="2" borderId="50" xfId="0" applyFont="1" applyFill="1" applyBorder="1" applyAlignment="1">
      <alignment horizontal="left" vertical="center"/>
    </xf>
    <xf numFmtId="0" fontId="0" fillId="0" borderId="0" xfId="0" applyAlignment="1">
      <alignment vertical="center" wrapText="1"/>
    </xf>
    <xf numFmtId="44" fontId="3" fillId="12" borderId="3" xfId="0" applyNumberFormat="1" applyFont="1" applyFill="1" applyBorder="1" applyAlignment="1">
      <alignment horizontal="center" vertical="center"/>
    </xf>
    <xf numFmtId="9" fontId="14" fillId="0" borderId="0" xfId="0" applyNumberFormat="1" applyFont="1" applyAlignment="1">
      <alignment horizontal="left" vertical="center" wrapText="1" indent="1"/>
    </xf>
    <xf numFmtId="10" fontId="0" fillId="0" borderId="37" xfId="0" applyNumberFormat="1" applyBorder="1" applyAlignment="1">
      <alignment horizontal="center" vertical="center"/>
    </xf>
    <xf numFmtId="10" fontId="0" fillId="0" borderId="39" xfId="0" applyNumberFormat="1" applyBorder="1" applyAlignment="1">
      <alignment horizontal="center" vertical="center"/>
    </xf>
    <xf numFmtId="10" fontId="14" fillId="0" borderId="1" xfId="0" applyNumberFormat="1" applyFont="1" applyBorder="1" applyAlignment="1">
      <alignment horizontal="center" vertical="center" wrapText="1"/>
    </xf>
    <xf numFmtId="10" fontId="14" fillId="0" borderId="20" xfId="0" applyNumberFormat="1" applyFont="1" applyBorder="1" applyAlignment="1">
      <alignment horizontal="center" vertical="center" wrapText="1"/>
    </xf>
    <xf numFmtId="10" fontId="3" fillId="2" borderId="60" xfId="0" applyNumberFormat="1" applyFont="1" applyFill="1" applyBorder="1" applyAlignment="1">
      <alignment horizontal="center" vertical="center"/>
    </xf>
    <xf numFmtId="10" fontId="3" fillId="2" borderId="50" xfId="0" applyNumberFormat="1" applyFont="1" applyFill="1" applyBorder="1" applyAlignment="1">
      <alignment horizontal="center" vertical="center"/>
    </xf>
    <xf numFmtId="44" fontId="14" fillId="0" borderId="16" xfId="0" applyNumberFormat="1" applyFont="1" applyFill="1" applyBorder="1" applyAlignment="1">
      <alignment horizontal="center" vertical="center"/>
    </xf>
    <xf numFmtId="44" fontId="14" fillId="0" borderId="17" xfId="0" applyNumberFormat="1" applyFont="1" applyBorder="1" applyAlignment="1">
      <alignment vertical="center"/>
    </xf>
    <xf numFmtId="0" fontId="15" fillId="2" borderId="70" xfId="0" applyFont="1" applyFill="1" applyBorder="1" applyAlignment="1">
      <alignment horizontal="center" vertical="center"/>
    </xf>
    <xf numFmtId="0" fontId="15" fillId="2" borderId="4" xfId="0" applyFont="1" applyFill="1" applyBorder="1" applyAlignment="1">
      <alignment horizontal="center" vertical="center"/>
    </xf>
    <xf numFmtId="0" fontId="3" fillId="2" borderId="19" xfId="0" applyFont="1" applyFill="1" applyBorder="1" applyAlignment="1">
      <alignment horizontal="center" vertical="center"/>
    </xf>
    <xf numFmtId="44" fontId="3" fillId="2" borderId="5" xfId="0" applyNumberFormat="1" applyFont="1" applyFill="1" applyBorder="1" applyAlignment="1">
      <alignment horizontal="center" vertical="center"/>
    </xf>
    <xf numFmtId="0" fontId="15" fillId="0" borderId="15" xfId="0" applyFont="1" applyBorder="1" applyAlignment="1">
      <alignment horizontal="left" vertical="center" indent="1"/>
    </xf>
    <xf numFmtId="0" fontId="15" fillId="0" borderId="9" xfId="0" applyFont="1" applyBorder="1" applyAlignment="1">
      <alignment horizontal="left" vertical="center" indent="1"/>
    </xf>
    <xf numFmtId="0" fontId="15" fillId="0" borderId="26" xfId="0" applyFont="1" applyBorder="1" applyAlignment="1">
      <alignment horizontal="left" vertical="center" indent="1"/>
    </xf>
    <xf numFmtId="44" fontId="3" fillId="3" borderId="3" xfId="0" applyNumberFormat="1" applyFont="1" applyFill="1" applyBorder="1" applyAlignment="1">
      <alignment horizontal="center" vertical="center"/>
    </xf>
    <xf numFmtId="10" fontId="14" fillId="0" borderId="17" xfId="0" applyNumberFormat="1" applyFont="1" applyBorder="1" applyAlignment="1">
      <alignment horizontal="center" vertical="center" wrapText="1"/>
    </xf>
    <xf numFmtId="0" fontId="3" fillId="2" borderId="3" xfId="0" applyFont="1" applyFill="1" applyBorder="1" applyAlignment="1">
      <alignment vertical="center"/>
    </xf>
    <xf numFmtId="6" fontId="14" fillId="0" borderId="5" xfId="0" applyNumberFormat="1" applyFont="1" applyBorder="1" applyAlignment="1">
      <alignment horizontal="left" vertical="center" wrapText="1" indent="1"/>
    </xf>
    <xf numFmtId="44" fontId="3" fillId="2" borderId="23" xfId="0" applyNumberFormat="1" applyFont="1" applyFill="1" applyBorder="1" applyAlignment="1">
      <alignment horizontal="center" vertical="center"/>
    </xf>
    <xf numFmtId="0" fontId="0" fillId="0" borderId="0" xfId="0" quotePrefix="1" applyAlignment="1">
      <alignment vertical="center"/>
    </xf>
    <xf numFmtId="0" fontId="3" fillId="2" borderId="2" xfId="0" applyFont="1" applyFill="1" applyBorder="1" applyAlignment="1">
      <alignment horizontal="center" vertical="center"/>
    </xf>
    <xf numFmtId="0" fontId="0" fillId="0" borderId="0" xfId="0" quotePrefix="1" applyFill="1" applyBorder="1" applyAlignment="1">
      <alignment vertical="center"/>
    </xf>
    <xf numFmtId="0" fontId="0" fillId="0" borderId="0" xfId="0" applyAlignment="1">
      <alignment vertical="center"/>
    </xf>
    <xf numFmtId="0" fontId="15" fillId="2" borderId="36" xfId="0" applyFont="1" applyFill="1" applyBorder="1" applyAlignment="1">
      <alignment horizontal="center" vertical="center"/>
    </xf>
    <xf numFmtId="44" fontId="15" fillId="2" borderId="3" xfId="0" applyNumberFormat="1" applyFont="1" applyFill="1" applyBorder="1" applyAlignment="1">
      <alignment horizontal="center" vertical="center" wrapText="1"/>
    </xf>
    <xf numFmtId="0" fontId="3" fillId="2" borderId="60" xfId="0" applyFont="1" applyFill="1" applyBorder="1" applyAlignment="1">
      <alignment horizontal="center" vertical="center"/>
    </xf>
    <xf numFmtId="44" fontId="3" fillId="2" borderId="61" xfId="0" applyNumberFormat="1" applyFont="1" applyFill="1" applyBorder="1" applyAlignment="1">
      <alignment horizontal="center" vertical="center"/>
    </xf>
    <xf numFmtId="0" fontId="3" fillId="2" borderId="66" xfId="0" applyFont="1" applyFill="1" applyBorder="1" applyAlignment="1">
      <alignment horizontal="center" vertical="center"/>
    </xf>
    <xf numFmtId="0" fontId="11" fillId="2" borderId="60" xfId="0" applyFont="1" applyFill="1" applyBorder="1" applyAlignment="1">
      <alignment horizontal="left" vertical="center"/>
    </xf>
    <xf numFmtId="0" fontId="0" fillId="0" borderId="33" xfId="0" applyBorder="1" applyAlignment="1">
      <alignment horizontal="center" vertical="center"/>
    </xf>
    <xf numFmtId="42" fontId="0" fillId="0" borderId="11" xfId="0" applyNumberFormat="1" applyBorder="1" applyAlignment="1">
      <alignment horizontal="center" vertical="center"/>
    </xf>
    <xf numFmtId="10" fontId="0" fillId="0" borderId="11" xfId="0" applyNumberFormat="1" applyBorder="1" applyAlignment="1">
      <alignment horizontal="center" vertical="center"/>
    </xf>
    <xf numFmtId="44" fontId="3" fillId="2" borderId="2" xfId="0" applyNumberFormat="1" applyFont="1" applyFill="1" applyBorder="1" applyAlignment="1">
      <alignment horizontal="center" vertical="center"/>
    </xf>
    <xf numFmtId="0" fontId="3" fillId="2" borderId="27" xfId="0" applyFont="1" applyFill="1" applyBorder="1" applyAlignment="1">
      <alignment horizontal="center" vertical="center"/>
    </xf>
    <xf numFmtId="0" fontId="0" fillId="0" borderId="9" xfId="0" applyBorder="1" applyAlignment="1">
      <alignment horizontal="center" vertical="center"/>
    </xf>
    <xf numFmtId="0" fontId="0" fillId="0" borderId="15" xfId="0" applyBorder="1" applyAlignment="1">
      <alignment horizontal="center" vertical="center"/>
    </xf>
    <xf numFmtId="44" fontId="3" fillId="2" borderId="28" xfId="0" applyNumberFormat="1" applyFont="1" applyFill="1" applyBorder="1" applyAlignment="1">
      <alignment horizontal="center" vertical="center"/>
    </xf>
    <xf numFmtId="0" fontId="0" fillId="0" borderId="43" xfId="0" applyBorder="1" applyAlignment="1">
      <alignment horizontal="center" vertical="center"/>
    </xf>
    <xf numFmtId="42" fontId="0" fillId="0" borderId="17" xfId="0" applyNumberFormat="1" applyBorder="1" applyAlignment="1">
      <alignment horizontal="center" vertical="center"/>
    </xf>
    <xf numFmtId="10" fontId="0" fillId="0" borderId="17" xfId="0" applyNumberFormat="1" applyBorder="1" applyAlignment="1">
      <alignment horizontal="center" vertical="center"/>
    </xf>
    <xf numFmtId="42" fontId="3" fillId="3" borderId="36" xfId="0" applyNumberFormat="1" applyFont="1" applyFill="1" applyBorder="1" applyAlignment="1">
      <alignment horizontal="center" vertical="center"/>
    </xf>
    <xf numFmtId="42" fontId="3" fillId="3" borderId="5" xfId="0" applyNumberFormat="1" applyFont="1" applyFill="1" applyBorder="1" applyAlignment="1">
      <alignment horizontal="center" vertical="center"/>
    </xf>
    <xf numFmtId="44" fontId="3" fillId="2" borderId="36" xfId="0" applyNumberFormat="1" applyFont="1" applyFill="1" applyBorder="1" applyAlignment="1">
      <alignment horizontal="center" vertical="center"/>
    </xf>
    <xf numFmtId="10" fontId="0" fillId="0" borderId="6" xfId="0" applyNumberFormat="1" applyBorder="1" applyAlignment="1">
      <alignment horizontal="center" vertical="center"/>
    </xf>
    <xf numFmtId="0" fontId="3" fillId="2" borderId="59" xfId="0" applyFont="1" applyFill="1" applyBorder="1" applyAlignment="1">
      <alignment horizontal="center" vertical="center"/>
    </xf>
    <xf numFmtId="44" fontId="3" fillId="2" borderId="25" xfId="0" applyNumberFormat="1" applyFont="1" applyFill="1" applyBorder="1" applyAlignment="1">
      <alignment horizontal="center" vertical="center"/>
    </xf>
    <xf numFmtId="0" fontId="28" fillId="0" borderId="0" xfId="0" applyFont="1" applyAlignment="1">
      <alignment horizontal="left" vertical="center"/>
    </xf>
    <xf numFmtId="44" fontId="3" fillId="3" borderId="35" xfId="0" applyNumberFormat="1" applyFont="1" applyFill="1" applyBorder="1" applyAlignment="1">
      <alignment horizontal="center" vertical="center"/>
    </xf>
    <xf numFmtId="44" fontId="3" fillId="3" borderId="21" xfId="0" applyNumberFormat="1" applyFont="1" applyFill="1" applyBorder="1" applyAlignment="1">
      <alignment horizontal="center" vertical="center"/>
    </xf>
    <xf numFmtId="44" fontId="14" fillId="0" borderId="43" xfId="0" applyNumberFormat="1" applyFont="1" applyFill="1" applyBorder="1" applyAlignment="1">
      <alignment horizontal="center" vertical="center"/>
    </xf>
    <xf numFmtId="44" fontId="14" fillId="0" borderId="17" xfId="0" applyNumberFormat="1" applyFont="1" applyBorder="1" applyAlignment="1">
      <alignment vertical="center" wrapText="1"/>
    </xf>
    <xf numFmtId="0" fontId="14" fillId="0" borderId="69" xfId="0" applyFont="1" applyFill="1" applyBorder="1" applyAlignment="1">
      <alignment horizontal="left" vertical="center" wrapText="1"/>
    </xf>
    <xf numFmtId="0" fontId="15" fillId="2" borderId="28" xfId="0" applyFont="1" applyFill="1" applyBorder="1" applyAlignment="1">
      <alignment horizontal="left" vertical="center"/>
    </xf>
    <xf numFmtId="0" fontId="3" fillId="0" borderId="0" xfId="0" quotePrefix="1" applyFont="1" applyAlignment="1">
      <alignment vertical="center"/>
    </xf>
    <xf numFmtId="0" fontId="0" fillId="12" borderId="19" xfId="0" applyFill="1" applyBorder="1" applyAlignment="1">
      <alignment horizontal="center" vertical="center"/>
    </xf>
    <xf numFmtId="44" fontId="3" fillId="12" borderId="8" xfId="0" applyNumberFormat="1" applyFont="1" applyFill="1" applyBorder="1" applyAlignment="1">
      <alignment vertical="center"/>
    </xf>
    <xf numFmtId="44" fontId="3" fillId="12" borderId="9" xfId="0" applyNumberFormat="1" applyFont="1" applyFill="1" applyBorder="1" applyAlignment="1">
      <alignment vertical="center"/>
    </xf>
    <xf numFmtId="44" fontId="3" fillId="12" borderId="26" xfId="0" applyNumberFormat="1" applyFont="1" applyFill="1" applyBorder="1" applyAlignment="1">
      <alignment vertical="center"/>
    </xf>
    <xf numFmtId="0" fontId="3" fillId="2" borderId="22" xfId="0" applyFont="1" applyFill="1" applyBorder="1" applyAlignment="1">
      <alignment horizontal="center" vertical="center"/>
    </xf>
    <xf numFmtId="49" fontId="3" fillId="2" borderId="3" xfId="0" applyNumberFormat="1" applyFont="1" applyFill="1" applyBorder="1" applyAlignment="1">
      <alignment horizontal="center"/>
    </xf>
    <xf numFmtId="0" fontId="0" fillId="0" borderId="0" xfId="0" applyAlignment="1">
      <alignment vertical="center"/>
    </xf>
    <xf numFmtId="0" fontId="3" fillId="0" borderId="1"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6" xfId="0" applyFont="1" applyBorder="1" applyAlignment="1">
      <alignment horizontal="center" vertical="center"/>
    </xf>
    <xf numFmtId="0" fontId="3" fillId="0" borderId="36" xfId="0" applyFont="1" applyBorder="1" applyAlignment="1">
      <alignment horizontal="center" vertical="center"/>
    </xf>
    <xf numFmtId="0" fontId="10" fillId="0" borderId="35" xfId="0" applyFont="1" applyBorder="1" applyAlignment="1">
      <alignment horizontal="center" vertical="center"/>
    </xf>
    <xf numFmtId="0" fontId="0" fillId="0" borderId="1" xfId="0" applyBorder="1" applyAlignment="1">
      <alignment vertical="center" wrapText="1"/>
    </xf>
    <xf numFmtId="0" fontId="0" fillId="0" borderId="11" xfId="0" applyFont="1" applyBorder="1" applyAlignment="1">
      <alignment vertical="center" wrapText="1"/>
    </xf>
    <xf numFmtId="0" fontId="0" fillId="0" borderId="1" xfId="0" applyFont="1" applyBorder="1" applyAlignment="1">
      <alignment vertical="center" wrapText="1"/>
    </xf>
    <xf numFmtId="0" fontId="0" fillId="0" borderId="20" xfId="0" applyFont="1" applyBorder="1" applyAlignment="1">
      <alignment vertical="center" wrapText="1"/>
    </xf>
    <xf numFmtId="0" fontId="0" fillId="0" borderId="17" xfId="0" applyFont="1" applyBorder="1" applyAlignment="1">
      <alignment vertical="center" wrapText="1"/>
    </xf>
    <xf numFmtId="0" fontId="2" fillId="0" borderId="6" xfId="0" applyFont="1" applyBorder="1" applyAlignment="1">
      <alignment vertical="center" wrapText="1"/>
    </xf>
    <xf numFmtId="0" fontId="6" fillId="0" borderId="4" xfId="0" applyFont="1" applyBorder="1" applyAlignment="1">
      <alignment vertical="center" wrapText="1"/>
    </xf>
    <xf numFmtId="0" fontId="0" fillId="0" borderId="11" xfId="0" applyBorder="1" applyAlignment="1">
      <alignment vertical="center" wrapText="1"/>
    </xf>
    <xf numFmtId="0" fontId="5" fillId="0" borderId="1" xfId="0" applyFont="1" applyBorder="1" applyAlignment="1">
      <alignment vertical="center" wrapText="1"/>
    </xf>
    <xf numFmtId="0" fontId="0" fillId="0" borderId="1" xfId="0" applyFont="1" applyFill="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9" fillId="0" borderId="1" xfId="0" applyFont="1" applyFill="1" applyBorder="1" applyAlignment="1">
      <alignment vertical="center" wrapText="1"/>
    </xf>
    <xf numFmtId="0" fontId="23" fillId="0" borderId="1" xfId="0" applyFont="1" applyBorder="1" applyAlignment="1">
      <alignment horizontal="left" vertical="center"/>
    </xf>
    <xf numFmtId="0" fontId="9" fillId="0" borderId="1" xfId="0" applyFont="1" applyBorder="1" applyAlignment="1">
      <alignment horizontal="left" vertical="center" wrapText="1"/>
    </xf>
    <xf numFmtId="0" fontId="9" fillId="0" borderId="6" xfId="0" applyFont="1" applyBorder="1" applyAlignment="1">
      <alignment horizontal="left" vertical="center" wrapText="1"/>
    </xf>
    <xf numFmtId="0" fontId="9" fillId="0" borderId="0" xfId="0" applyFont="1" applyAlignment="1">
      <alignment horizontal="left" vertical="center" wrapText="1"/>
    </xf>
    <xf numFmtId="0" fontId="3" fillId="0" borderId="43" xfId="0" applyFont="1" applyBorder="1" applyAlignment="1">
      <alignment horizontal="center" vertical="center"/>
    </xf>
    <xf numFmtId="0" fontId="0" fillId="0" borderId="0" xfId="0" applyFill="1" applyAlignment="1">
      <alignment vertical="top"/>
    </xf>
    <xf numFmtId="0" fontId="3" fillId="3" borderId="3" xfId="0" applyFont="1" applyFill="1" applyBorder="1" applyAlignment="1">
      <alignment horizontal="center" vertical="center"/>
    </xf>
    <xf numFmtId="0" fontId="3" fillId="2" borderId="19" xfId="0" applyFont="1" applyFill="1" applyBorder="1" applyAlignment="1">
      <alignment horizontal="center" vertical="center"/>
    </xf>
    <xf numFmtId="0" fontId="0" fillId="0" borderId="6" xfId="0" applyFont="1" applyBorder="1" applyAlignment="1">
      <alignment vertical="center" wrapText="1"/>
    </xf>
    <xf numFmtId="0" fontId="7" fillId="6" borderId="4" xfId="0" applyFont="1" applyFill="1" applyBorder="1" applyAlignment="1">
      <alignment vertical="center" wrapText="1"/>
    </xf>
    <xf numFmtId="0" fontId="18" fillId="0" borderId="0" xfId="0" applyFont="1" applyFill="1" applyBorder="1" applyAlignment="1">
      <alignment horizontal="left" vertical="center"/>
    </xf>
    <xf numFmtId="0" fontId="14" fillId="0" borderId="0" xfId="0" applyFont="1" applyFill="1" applyBorder="1" applyAlignment="1">
      <alignment horizontal="center" vertical="center"/>
    </xf>
    <xf numFmtId="44" fontId="3" fillId="12" borderId="31" xfId="0" applyNumberFormat="1" applyFont="1" applyFill="1" applyBorder="1" applyAlignment="1">
      <alignment vertical="center"/>
    </xf>
    <xf numFmtId="44" fontId="3" fillId="12" borderId="8" xfId="0" applyNumberFormat="1" applyFont="1" applyFill="1" applyBorder="1" applyAlignment="1">
      <alignment horizontal="center" vertical="center"/>
    </xf>
    <xf numFmtId="167" fontId="3" fillId="12" borderId="9" xfId="0" applyNumberFormat="1" applyFont="1" applyFill="1" applyBorder="1" applyAlignment="1">
      <alignment horizontal="center" vertical="center"/>
    </xf>
    <xf numFmtId="0" fontId="3" fillId="12" borderId="9" xfId="0" applyFont="1" applyFill="1" applyBorder="1" applyAlignment="1">
      <alignment horizontal="center" vertical="center"/>
    </xf>
    <xf numFmtId="0" fontId="0" fillId="0" borderId="2" xfId="0" applyFont="1" applyBorder="1" applyAlignment="1">
      <alignment vertical="center" wrapText="1"/>
    </xf>
    <xf numFmtId="42" fontId="3" fillId="16" borderId="1" xfId="0" applyNumberFormat="1" applyFont="1" applyFill="1" applyBorder="1" applyAlignment="1">
      <alignment horizontal="center" vertical="center"/>
    </xf>
    <xf numFmtId="42" fontId="0" fillId="0" borderId="0" xfId="0" applyNumberFormat="1" applyAlignment="1">
      <alignment horizontal="center" vertical="center"/>
    </xf>
    <xf numFmtId="0" fontId="0" fillId="0" borderId="1" xfId="0" quotePrefix="1" applyFont="1" applyBorder="1" applyAlignment="1">
      <alignment vertical="center" wrapText="1"/>
    </xf>
    <xf numFmtId="0" fontId="0" fillId="0" borderId="1" xfId="0" quotePrefix="1" applyFont="1" applyFill="1" applyBorder="1" applyAlignment="1">
      <alignment vertical="center" wrapText="1"/>
    </xf>
    <xf numFmtId="0" fontId="0" fillId="0" borderId="0" xfId="0" applyFont="1" applyAlignment="1">
      <alignment vertical="center" wrapText="1"/>
    </xf>
    <xf numFmtId="0" fontId="30" fillId="0" borderId="6" xfId="0" applyFont="1" applyBorder="1" applyAlignment="1">
      <alignment horizontal="center" vertical="center" wrapText="1"/>
    </xf>
    <xf numFmtId="0" fontId="30" fillId="0" borderId="0" xfId="0" applyFont="1" applyAlignment="1">
      <alignment horizontal="center" vertical="center" wrapText="1"/>
    </xf>
    <xf numFmtId="0" fontId="32" fillId="0" borderId="1" xfId="0" applyFont="1" applyBorder="1" applyAlignment="1">
      <alignment horizontal="center" vertical="center"/>
    </xf>
    <xf numFmtId="0" fontId="35" fillId="0" borderId="0" xfId="0" applyFont="1" applyAlignment="1">
      <alignment vertical="top"/>
    </xf>
    <xf numFmtId="44" fontId="3" fillId="12" borderId="32" xfId="0" applyNumberFormat="1" applyFont="1" applyFill="1" applyBorder="1" applyAlignment="1">
      <alignment vertical="center"/>
    </xf>
    <xf numFmtId="0" fontId="9" fillId="0" borderId="0" xfId="0" applyFont="1" applyAlignment="1">
      <alignment vertical="top"/>
    </xf>
    <xf numFmtId="0" fontId="0" fillId="0" borderId="17" xfId="0" applyFont="1" applyFill="1" applyBorder="1" applyAlignment="1">
      <alignment vertical="center" wrapText="1"/>
    </xf>
    <xf numFmtId="0" fontId="0" fillId="0" borderId="6" xfId="0" applyFont="1" applyFill="1" applyBorder="1" applyAlignment="1">
      <alignment vertical="center" wrapText="1"/>
    </xf>
    <xf numFmtId="0" fontId="3" fillId="0" borderId="6" xfId="0" applyFont="1" applyBorder="1" applyAlignment="1">
      <alignment vertical="center" wrapText="1"/>
    </xf>
    <xf numFmtId="0" fontId="0" fillId="0" borderId="1" xfId="0" applyFont="1" applyFill="1" applyBorder="1" applyAlignment="1">
      <alignment horizontal="left" vertical="center" wrapText="1"/>
    </xf>
    <xf numFmtId="44" fontId="3" fillId="12" borderId="14" xfId="0" applyNumberFormat="1" applyFont="1" applyFill="1" applyBorder="1" applyAlignment="1">
      <alignment horizontal="center" vertical="center"/>
    </xf>
    <xf numFmtId="0" fontId="0" fillId="0" borderId="33" xfId="0" applyFill="1" applyBorder="1" applyAlignment="1">
      <alignment horizontal="center" vertical="center"/>
    </xf>
    <xf numFmtId="0" fontId="3" fillId="0" borderId="35" xfId="0" applyFont="1" applyFill="1" applyBorder="1" applyAlignment="1">
      <alignment horizontal="center" vertical="center"/>
    </xf>
    <xf numFmtId="0" fontId="0" fillId="0" borderId="54" xfId="0" applyBorder="1" applyAlignment="1">
      <alignment vertical="center" wrapText="1"/>
    </xf>
    <xf numFmtId="0" fontId="0" fillId="0" borderId="57" xfId="0" applyBorder="1" applyAlignment="1">
      <alignment vertical="center" wrapText="1"/>
    </xf>
    <xf numFmtId="0" fontId="2" fillId="0" borderId="0" xfId="0" applyFont="1" applyFill="1" applyBorder="1" applyAlignment="1">
      <alignment vertical="center" wrapText="1"/>
    </xf>
    <xf numFmtId="0" fontId="2" fillId="2" borderId="49" xfId="0" applyFont="1" applyFill="1" applyBorder="1" applyAlignment="1">
      <alignment vertical="center" wrapText="1"/>
    </xf>
    <xf numFmtId="0" fontId="2" fillId="0" borderId="0" xfId="0" applyFont="1" applyAlignment="1">
      <alignment vertical="center" wrapText="1"/>
    </xf>
    <xf numFmtId="0" fontId="0" fillId="0" borderId="56" xfId="0" applyBorder="1" applyAlignment="1">
      <alignment horizontal="center" wrapText="1"/>
    </xf>
    <xf numFmtId="0" fontId="0" fillId="0" borderId="57" xfId="0" applyBorder="1" applyAlignment="1">
      <alignment horizontal="center" wrapText="1"/>
    </xf>
    <xf numFmtId="0" fontId="0" fillId="0" borderId="0" xfId="0" applyAlignment="1">
      <alignment horizontal="right" vertical="center" wrapText="1"/>
    </xf>
    <xf numFmtId="0" fontId="3" fillId="2" borderId="19" xfId="0" applyFont="1" applyFill="1" applyBorder="1" applyAlignment="1">
      <alignment vertical="center" wrapText="1"/>
    </xf>
    <xf numFmtId="0" fontId="0" fillId="0" borderId="45" xfId="0" applyBorder="1" applyAlignment="1">
      <alignment vertical="center" wrapText="1"/>
    </xf>
    <xf numFmtId="0" fontId="0" fillId="0" borderId="47" xfId="0" applyBorder="1" applyAlignment="1">
      <alignment vertical="center" wrapText="1"/>
    </xf>
    <xf numFmtId="0" fontId="3" fillId="3" borderId="19" xfId="0" applyFont="1" applyFill="1" applyBorder="1" applyAlignment="1">
      <alignment vertical="center" wrapText="1"/>
    </xf>
    <xf numFmtId="0" fontId="0" fillId="0" borderId="19" xfId="0" applyFont="1" applyFill="1" applyBorder="1" applyAlignment="1">
      <alignment vertical="center" wrapText="1"/>
    </xf>
    <xf numFmtId="0" fontId="2" fillId="0" borderId="0" xfId="0" applyFont="1" applyAlignment="1">
      <alignment horizontal="right" vertical="center" wrapText="1"/>
    </xf>
    <xf numFmtId="0" fontId="0" fillId="0" borderId="0" xfId="0" applyAlignment="1">
      <alignment vertical="center"/>
    </xf>
    <xf numFmtId="42" fontId="3" fillId="0" borderId="1" xfId="0" applyNumberFormat="1" applyFont="1" applyBorder="1" applyAlignment="1">
      <alignment horizontal="center" vertical="center"/>
    </xf>
    <xf numFmtId="0" fontId="8" fillId="19" borderId="1" xfId="0" applyFont="1" applyFill="1" applyBorder="1" applyAlignment="1">
      <alignment vertical="center" wrapText="1"/>
    </xf>
    <xf numFmtId="0" fontId="8" fillId="19" borderId="20" xfId="0" applyFont="1" applyFill="1" applyBorder="1" applyAlignment="1">
      <alignment vertical="center" wrapText="1"/>
    </xf>
    <xf numFmtId="42" fontId="5" fillId="0" borderId="1" xfId="0" applyNumberFormat="1" applyFont="1" applyBorder="1" applyAlignment="1">
      <alignment horizontal="center" vertical="center"/>
    </xf>
    <xf numFmtId="42" fontId="5" fillId="0" borderId="1" xfId="0" applyNumberFormat="1" applyFont="1" applyBorder="1" applyAlignment="1">
      <alignment vertical="center"/>
    </xf>
    <xf numFmtId="0" fontId="8" fillId="19" borderId="6" xfId="0" applyFont="1" applyFill="1" applyBorder="1" applyAlignment="1">
      <alignment vertical="center" wrapText="1"/>
    </xf>
    <xf numFmtId="171" fontId="3" fillId="2" borderId="3" xfId="0" applyNumberFormat="1" applyFont="1" applyFill="1" applyBorder="1" applyAlignment="1">
      <alignment horizontal="center" vertical="center"/>
    </xf>
    <xf numFmtId="42" fontId="3" fillId="3" borderId="4" xfId="0" applyNumberFormat="1" applyFont="1" applyFill="1" applyBorder="1" applyAlignment="1">
      <alignment vertical="center"/>
    </xf>
    <xf numFmtId="0" fontId="3" fillId="3" borderId="36" xfId="0" applyFont="1" applyFill="1" applyBorder="1" applyAlignment="1">
      <alignment horizontal="center" vertical="center"/>
    </xf>
    <xf numFmtId="1" fontId="3" fillId="3" borderId="5" xfId="0" applyNumberFormat="1" applyFont="1" applyFill="1" applyBorder="1" applyAlignment="1">
      <alignment horizontal="center" vertical="center"/>
    </xf>
    <xf numFmtId="0" fontId="3" fillId="2" borderId="4" xfId="0" applyFont="1" applyFill="1" applyBorder="1" applyAlignment="1">
      <alignment vertical="center" wrapText="1"/>
    </xf>
    <xf numFmtId="44" fontId="3" fillId="2" borderId="40" xfId="0" applyNumberFormat="1" applyFont="1" applyFill="1" applyBorder="1" applyAlignment="1">
      <alignment vertical="center"/>
    </xf>
    <xf numFmtId="0" fontId="3" fillId="2" borderId="70" xfId="0" applyFont="1" applyFill="1" applyBorder="1" applyAlignment="1">
      <alignment horizontal="center" vertical="center"/>
    </xf>
    <xf numFmtId="0" fontId="3" fillId="2" borderId="5" xfId="0" applyFont="1" applyFill="1" applyBorder="1" applyAlignment="1">
      <alignment horizontal="center" vertical="center"/>
    </xf>
    <xf numFmtId="0" fontId="0" fillId="0" borderId="0" xfId="0" applyAlignment="1">
      <alignment vertical="center"/>
    </xf>
    <xf numFmtId="0" fontId="3" fillId="2" borderId="28" xfId="0" applyFont="1" applyFill="1" applyBorder="1" applyAlignment="1">
      <alignment horizontal="center" vertical="center"/>
    </xf>
    <xf numFmtId="0" fontId="3" fillId="2" borderId="48" xfId="0" applyFont="1" applyFill="1" applyBorder="1" applyAlignment="1">
      <alignment horizontal="center" vertical="center" wrapText="1"/>
    </xf>
    <xf numFmtId="0" fontId="3" fillId="2" borderId="22" xfId="0" applyFont="1" applyFill="1" applyBorder="1" applyAlignment="1">
      <alignment horizontal="center" vertical="center"/>
    </xf>
    <xf numFmtId="44" fontId="0" fillId="0" borderId="0" xfId="0" applyNumberFormat="1" applyAlignment="1">
      <alignment horizontal="center" vertical="center"/>
    </xf>
    <xf numFmtId="0" fontId="0" fillId="0" borderId="0" xfId="0" applyAlignment="1">
      <alignment vertical="center"/>
    </xf>
    <xf numFmtId="44" fontId="3" fillId="2" borderId="19" xfId="0" applyNumberFormat="1" applyFont="1" applyFill="1" applyBorder="1" applyAlignment="1">
      <alignment horizontal="center" vertical="center"/>
    </xf>
    <xf numFmtId="44" fontId="3" fillId="2" borderId="70" xfId="0" applyNumberFormat="1" applyFont="1" applyFill="1" applyBorder="1" applyAlignment="1">
      <alignment horizontal="center" vertical="center"/>
    </xf>
    <xf numFmtId="0" fontId="15" fillId="2" borderId="3" xfId="0" applyFont="1" applyFill="1" applyBorder="1" applyAlignment="1">
      <alignment horizontal="left" vertical="center"/>
    </xf>
    <xf numFmtId="0" fontId="3" fillId="0" borderId="0" xfId="0" applyFont="1" applyAlignment="1">
      <alignment horizontal="left" vertical="center"/>
    </xf>
    <xf numFmtId="0" fontId="0" fillId="0" borderId="53" xfId="0" applyBorder="1" applyAlignment="1">
      <alignment vertical="center"/>
    </xf>
    <xf numFmtId="0" fontId="0" fillId="0" borderId="54" xfId="0" applyBorder="1" applyAlignment="1">
      <alignment vertical="center"/>
    </xf>
    <xf numFmtId="0" fontId="0" fillId="0" borderId="55" xfId="0" applyBorder="1" applyAlignment="1">
      <alignment vertical="center"/>
    </xf>
    <xf numFmtId="0" fontId="0" fillId="3" borderId="48" xfId="0" applyFill="1" applyBorder="1" applyAlignment="1">
      <alignment vertical="center"/>
    </xf>
    <xf numFmtId="0" fontId="24" fillId="0" borderId="1" xfId="0" applyFont="1" applyBorder="1" applyAlignment="1">
      <alignment horizontal="left" vertical="center" wrapText="1"/>
    </xf>
    <xf numFmtId="0" fontId="3" fillId="3" borderId="56" xfId="0" applyFont="1" applyFill="1" applyBorder="1" applyAlignment="1">
      <alignment horizontal="center"/>
    </xf>
    <xf numFmtId="0" fontId="3" fillId="3" borderId="54" xfId="0" applyFont="1" applyFill="1" applyBorder="1" applyAlignment="1">
      <alignment horizontal="center"/>
    </xf>
    <xf numFmtId="0" fontId="3" fillId="3" borderId="57" xfId="0" applyFont="1" applyFill="1" applyBorder="1" applyAlignment="1">
      <alignment horizontal="center"/>
    </xf>
    <xf numFmtId="0" fontId="3" fillId="3" borderId="3" xfId="0" applyFont="1" applyFill="1" applyBorder="1" applyAlignment="1">
      <alignment horizontal="center"/>
    </xf>
    <xf numFmtId="42" fontId="3" fillId="3" borderId="3" xfId="0" applyNumberFormat="1" applyFont="1" applyFill="1" applyBorder="1" applyAlignment="1">
      <alignment horizontal="center"/>
    </xf>
    <xf numFmtId="173" fontId="3" fillId="3" borderId="24" xfId="0" applyNumberFormat="1" applyFont="1" applyFill="1" applyBorder="1" applyAlignment="1">
      <alignment horizontal="center" vertical="center"/>
    </xf>
    <xf numFmtId="173" fontId="3" fillId="3" borderId="51" xfId="0" applyNumberFormat="1" applyFont="1" applyFill="1" applyBorder="1" applyAlignment="1">
      <alignment horizontal="center" vertical="center"/>
    </xf>
    <xf numFmtId="0" fontId="3" fillId="3" borderId="48" xfId="0" applyFont="1" applyFill="1" applyBorder="1" applyAlignment="1">
      <alignment horizontal="right" vertical="center" wrapText="1"/>
    </xf>
    <xf numFmtId="0" fontId="3" fillId="2" borderId="28" xfId="0" applyFont="1" applyFill="1" applyBorder="1" applyAlignment="1">
      <alignment horizontal="left" vertical="center" wrapText="1"/>
    </xf>
    <xf numFmtId="0" fontId="3" fillId="3" borderId="3" xfId="0" applyFont="1" applyFill="1" applyBorder="1" applyAlignment="1">
      <alignment horizontal="right" vertical="center"/>
    </xf>
    <xf numFmtId="0" fontId="0" fillId="0" borderId="0" xfId="0" applyBorder="1" applyAlignment="1">
      <alignment vertical="center" textRotation="90"/>
    </xf>
    <xf numFmtId="0" fontId="0" fillId="0" borderId="0" xfId="0" applyFont="1"/>
    <xf numFmtId="0" fontId="0" fillId="0" borderId="0" xfId="0" applyAlignment="1">
      <alignment vertical="center"/>
    </xf>
    <xf numFmtId="49" fontId="0" fillId="0" borderId="0" xfId="0" applyNumberFormat="1" applyFont="1" applyAlignment="1">
      <alignment horizontal="center"/>
    </xf>
    <xf numFmtId="0" fontId="0" fillId="20" borderId="19" xfId="0" applyFont="1" applyFill="1" applyBorder="1"/>
    <xf numFmtId="0" fontId="0" fillId="20" borderId="28" xfId="0" applyFont="1" applyFill="1" applyBorder="1"/>
    <xf numFmtId="49" fontId="0" fillId="0" borderId="15" xfId="0" quotePrefix="1" applyNumberFormat="1" applyFont="1" applyBorder="1" applyAlignment="1">
      <alignment horizontal="center"/>
    </xf>
    <xf numFmtId="0" fontId="0" fillId="0" borderId="43" xfId="0" applyFont="1" applyBorder="1" applyAlignment="1">
      <alignment horizontal="center"/>
    </xf>
    <xf numFmtId="0" fontId="0" fillId="0" borderId="17" xfId="0" applyFont="1" applyBorder="1" applyAlignment="1">
      <alignment horizontal="center"/>
    </xf>
    <xf numFmtId="0" fontId="0" fillId="0" borderId="18" xfId="0" applyFont="1" applyBorder="1" applyAlignment="1">
      <alignment horizontal="center"/>
    </xf>
    <xf numFmtId="49" fontId="0" fillId="0" borderId="9" xfId="0" quotePrefix="1" applyNumberFormat="1" applyFont="1" applyBorder="1" applyAlignment="1">
      <alignment horizontal="center"/>
    </xf>
    <xf numFmtId="0" fontId="0" fillId="0" borderId="34" xfId="0" applyFont="1" applyBorder="1" applyAlignment="1">
      <alignment horizontal="center"/>
    </xf>
    <xf numFmtId="0" fontId="0" fillId="0" borderId="1" xfId="0" applyFont="1" applyBorder="1" applyAlignment="1">
      <alignment horizontal="center"/>
    </xf>
    <xf numFmtId="0" fontId="0" fillId="0" borderId="13" xfId="0" applyFont="1" applyBorder="1" applyAlignment="1">
      <alignment horizontal="center"/>
    </xf>
    <xf numFmtId="49" fontId="0" fillId="0" borderId="26" xfId="0" quotePrefix="1" applyNumberFormat="1" applyFont="1" applyBorder="1" applyAlignment="1">
      <alignment horizontal="center"/>
    </xf>
    <xf numFmtId="0" fontId="0" fillId="0" borderId="35" xfId="0" applyFont="1" applyBorder="1" applyAlignment="1">
      <alignment horizontal="center"/>
    </xf>
    <xf numFmtId="0" fontId="0" fillId="0" borderId="20" xfId="0" applyFont="1" applyBorder="1" applyAlignment="1">
      <alignment horizontal="center"/>
    </xf>
    <xf numFmtId="0" fontId="0" fillId="0" borderId="21" xfId="0" applyFont="1" applyBorder="1" applyAlignment="1">
      <alignment horizontal="center"/>
    </xf>
    <xf numFmtId="49" fontId="0" fillId="0" borderId="9" xfId="0" quotePrefix="1" applyNumberFormat="1" applyFont="1" applyFill="1" applyBorder="1" applyAlignment="1">
      <alignment horizontal="center"/>
    </xf>
    <xf numFmtId="49" fontId="0" fillId="0" borderId="26" xfId="0" quotePrefix="1" applyNumberFormat="1" applyFont="1" applyFill="1" applyBorder="1" applyAlignment="1">
      <alignment horizontal="center"/>
    </xf>
    <xf numFmtId="49" fontId="0" fillId="0" borderId="8" xfId="0" quotePrefix="1" applyNumberFormat="1" applyFont="1" applyBorder="1" applyAlignment="1">
      <alignment horizontal="center"/>
    </xf>
    <xf numFmtId="49" fontId="0" fillId="0" borderId="8" xfId="0" applyNumberFormat="1" applyFont="1" applyBorder="1" applyAlignment="1">
      <alignment horizontal="center"/>
    </xf>
    <xf numFmtId="42" fontId="0" fillId="0" borderId="0" xfId="0" applyNumberFormat="1" applyFont="1"/>
    <xf numFmtId="44" fontId="0" fillId="0" borderId="0" xfId="0" applyNumberFormat="1" applyFont="1"/>
    <xf numFmtId="0" fontId="19" fillId="0" borderId="0" xfId="1" applyFont="1" applyAlignment="1">
      <alignment vertical="top"/>
    </xf>
    <xf numFmtId="0" fontId="9" fillId="0" borderId="0" xfId="1" applyFont="1" applyAlignment="1">
      <alignment vertical="top"/>
    </xf>
    <xf numFmtId="0" fontId="19" fillId="0" borderId="0" xfId="1" applyFont="1" applyAlignment="1">
      <alignment horizontal="center" vertical="top"/>
    </xf>
    <xf numFmtId="0" fontId="11" fillId="0" borderId="0" xfId="1" applyFont="1" applyAlignment="1">
      <alignment horizontal="center" vertical="top"/>
    </xf>
    <xf numFmtId="1" fontId="3" fillId="10" borderId="3" xfId="0" applyNumberFormat="1" applyFont="1" applyFill="1" applyBorder="1" applyAlignment="1">
      <alignment horizontal="center"/>
    </xf>
    <xf numFmtId="0" fontId="3" fillId="2" borderId="3" xfId="0" applyFont="1" applyFill="1" applyBorder="1" applyAlignment="1">
      <alignment horizontal="center"/>
    </xf>
    <xf numFmtId="42" fontId="3" fillId="3" borderId="3" xfId="0" applyNumberFormat="1" applyFont="1" applyFill="1" applyBorder="1"/>
    <xf numFmtId="1" fontId="3" fillId="10" borderId="19" xfId="0" applyNumberFormat="1" applyFont="1" applyFill="1" applyBorder="1" applyAlignment="1">
      <alignment horizontal="center"/>
    </xf>
    <xf numFmtId="44" fontId="3" fillId="3" borderId="8" xfId="0" applyNumberFormat="1" applyFont="1" applyFill="1" applyBorder="1" applyAlignment="1">
      <alignment vertical="center"/>
    </xf>
    <xf numFmtId="0" fontId="3" fillId="3" borderId="28" xfId="0" applyFont="1" applyFill="1" applyBorder="1" applyAlignment="1">
      <alignment horizontal="center"/>
    </xf>
    <xf numFmtId="0" fontId="3" fillId="2" borderId="3" xfId="0" applyFont="1" applyFill="1" applyBorder="1" applyAlignment="1">
      <alignment horizontal="center" vertical="center" wrapText="1"/>
    </xf>
    <xf numFmtId="44" fontId="3" fillId="12" borderId="3" xfId="0" applyNumberFormat="1" applyFont="1" applyFill="1" applyBorder="1" applyAlignment="1">
      <alignment vertical="center"/>
    </xf>
    <xf numFmtId="0" fontId="0" fillId="0" borderId="26" xfId="0" applyFont="1" applyBorder="1" applyAlignment="1">
      <alignment vertical="center" wrapText="1"/>
    </xf>
    <xf numFmtId="42" fontId="0" fillId="10" borderId="10" xfId="0" applyNumberFormat="1" applyFont="1" applyFill="1" applyBorder="1"/>
    <xf numFmtId="0" fontId="0" fillId="0" borderId="10" xfId="0" applyFont="1" applyBorder="1"/>
    <xf numFmtId="1" fontId="0" fillId="0" borderId="0" xfId="0" applyNumberFormat="1" applyFill="1" applyBorder="1" applyAlignment="1">
      <alignment horizontal="center" vertical="center"/>
    </xf>
    <xf numFmtId="0" fontId="0" fillId="0" borderId="8" xfId="0" applyFont="1" applyBorder="1" applyAlignment="1">
      <alignment vertical="center" wrapText="1"/>
    </xf>
    <xf numFmtId="1" fontId="3" fillId="3" borderId="3" xfId="0" applyNumberFormat="1" applyFont="1" applyFill="1" applyBorder="1" applyAlignment="1">
      <alignment horizontal="center" vertical="center"/>
    </xf>
    <xf numFmtId="1" fontId="3" fillId="3" borderId="28" xfId="0" applyNumberFormat="1" applyFont="1" applyFill="1" applyBorder="1" applyAlignment="1">
      <alignment horizontal="center" vertical="center"/>
    </xf>
    <xf numFmtId="1" fontId="3" fillId="3" borderId="8" xfId="0" applyNumberFormat="1" applyFont="1" applyFill="1" applyBorder="1" applyAlignment="1">
      <alignment horizontal="center" vertical="center"/>
    </xf>
    <xf numFmtId="1" fontId="3" fillId="3" borderId="26" xfId="0" applyNumberFormat="1" applyFont="1" applyFill="1" applyBorder="1" applyAlignment="1">
      <alignment horizontal="center" vertical="center"/>
    </xf>
    <xf numFmtId="0" fontId="3" fillId="3" borderId="48" xfId="0" applyFont="1" applyFill="1" applyBorder="1" applyAlignment="1">
      <alignment horizontal="right" wrapText="1"/>
    </xf>
    <xf numFmtId="0" fontId="2" fillId="2" borderId="3" xfId="0" applyFont="1" applyFill="1" applyBorder="1" applyAlignment="1">
      <alignment vertical="center"/>
    </xf>
    <xf numFmtId="167" fontId="0" fillId="10" borderId="1" xfId="0" applyNumberFormat="1" applyFont="1" applyFill="1" applyBorder="1" applyAlignment="1">
      <alignment horizontal="center"/>
    </xf>
    <xf numFmtId="0" fontId="0" fillId="10" borderId="1" xfId="0" applyFont="1" applyFill="1" applyBorder="1" applyAlignment="1">
      <alignment horizontal="center"/>
    </xf>
    <xf numFmtId="167" fontId="0" fillId="10" borderId="20" xfId="0" applyNumberFormat="1" applyFont="1" applyFill="1" applyBorder="1" applyAlignment="1">
      <alignment horizontal="center"/>
    </xf>
    <xf numFmtId="0" fontId="0" fillId="0" borderId="56" xfId="0" applyBorder="1" applyAlignment="1">
      <alignment horizontal="center"/>
    </xf>
    <xf numFmtId="0" fontId="0" fillId="0" borderId="57" xfId="0" applyBorder="1" applyAlignment="1">
      <alignment horizontal="center"/>
    </xf>
    <xf numFmtId="9" fontId="0" fillId="0" borderId="8" xfId="0" applyNumberFormat="1" applyBorder="1" applyAlignment="1">
      <alignment horizontal="center"/>
    </xf>
    <xf numFmtId="9" fontId="0" fillId="0" borderId="9" xfId="0" applyNumberFormat="1" applyBorder="1" applyAlignment="1">
      <alignment horizontal="center"/>
    </xf>
    <xf numFmtId="9" fontId="0" fillId="0" borderId="26" xfId="0" applyNumberFormat="1" applyBorder="1" applyAlignment="1">
      <alignment horizontal="center"/>
    </xf>
    <xf numFmtId="0" fontId="3" fillId="2" borderId="22" xfId="0" applyFont="1" applyFill="1" applyBorder="1" applyAlignment="1">
      <alignment vertical="center" wrapText="1"/>
    </xf>
    <xf numFmtId="0" fontId="0" fillId="0" borderId="46" xfId="0" applyBorder="1" applyAlignment="1">
      <alignment vertical="center" wrapText="1"/>
    </xf>
    <xf numFmtId="0" fontId="0" fillId="2" borderId="3" xfId="0" applyFill="1" applyBorder="1" applyAlignment="1">
      <alignment horizontal="center" vertical="center"/>
    </xf>
    <xf numFmtId="0" fontId="0" fillId="0" borderId="68" xfId="0" applyBorder="1" applyAlignment="1">
      <alignment vertical="center" wrapText="1"/>
    </xf>
    <xf numFmtId="49" fontId="0" fillId="0" borderId="0" xfId="0" quotePrefix="1" applyNumberFormat="1" applyFont="1" applyBorder="1" applyAlignment="1">
      <alignment horizontal="center"/>
    </xf>
    <xf numFmtId="0" fontId="14" fillId="0" borderId="0" xfId="0" applyFont="1" applyBorder="1" applyAlignment="1">
      <alignment horizontal="center" vertical="center" wrapText="1"/>
    </xf>
    <xf numFmtId="9" fontId="0" fillId="0" borderId="0" xfId="0" applyNumberFormat="1" applyFont="1"/>
    <xf numFmtId="0" fontId="3" fillId="6" borderId="36" xfId="0" applyFont="1" applyFill="1" applyBorder="1" applyAlignment="1">
      <alignment horizontal="center" vertical="center"/>
    </xf>
    <xf numFmtId="42" fontId="3" fillId="0" borderId="6" xfId="0" applyNumberFormat="1" applyFont="1" applyBorder="1" applyAlignment="1">
      <alignment horizontal="center" vertical="center"/>
    </xf>
    <xf numFmtId="42" fontId="3" fillId="0" borderId="0" xfId="0" applyNumberFormat="1" applyFont="1" applyAlignment="1">
      <alignment horizontal="center" vertical="center"/>
    </xf>
    <xf numFmtId="0" fontId="3" fillId="0" borderId="2" xfId="0" applyFont="1" applyFill="1" applyBorder="1" applyAlignment="1">
      <alignment horizontal="right" vertical="center" wrapText="1"/>
    </xf>
    <xf numFmtId="0" fontId="43" fillId="0" borderId="0" xfId="0" applyFont="1" applyAlignment="1">
      <alignment vertical="top"/>
    </xf>
    <xf numFmtId="0" fontId="44" fillId="6" borderId="36" xfId="0" applyFont="1" applyFill="1" applyBorder="1" applyAlignment="1">
      <alignment horizontal="center" vertical="center"/>
    </xf>
    <xf numFmtId="0" fontId="24" fillId="6" borderId="4" xfId="0" applyFont="1" applyFill="1" applyBorder="1" applyAlignment="1">
      <alignment vertical="center" wrapText="1"/>
    </xf>
    <xf numFmtId="0" fontId="3" fillId="0" borderId="77" xfId="0" applyFont="1" applyBorder="1" applyAlignment="1">
      <alignment horizontal="center" vertical="center"/>
    </xf>
    <xf numFmtId="0" fontId="3" fillId="0" borderId="64" xfId="0" applyFont="1" applyBorder="1" applyAlignment="1">
      <alignment horizontal="center" vertical="center"/>
    </xf>
    <xf numFmtId="0" fontId="3" fillId="0" borderId="42" xfId="0" applyFont="1" applyBorder="1" applyAlignment="1">
      <alignment horizontal="center" vertical="center"/>
    </xf>
    <xf numFmtId="0" fontId="32" fillId="0" borderId="41" xfId="0" applyFont="1" applyFill="1" applyBorder="1" applyAlignment="1">
      <alignment horizontal="center" vertical="center" wrapText="1"/>
    </xf>
    <xf numFmtId="0" fontId="11" fillId="23" borderId="36" xfId="0" applyFont="1" applyFill="1" applyBorder="1" applyAlignment="1">
      <alignment horizontal="center" vertical="center"/>
    </xf>
    <xf numFmtId="0" fontId="30" fillId="0" borderId="41" xfId="0" applyFont="1" applyBorder="1" applyAlignment="1">
      <alignment horizontal="center" vertical="center" wrapText="1"/>
    </xf>
    <xf numFmtId="0" fontId="9" fillId="0" borderId="46" xfId="0" applyFont="1" applyBorder="1" applyAlignment="1">
      <alignment vertical="center" wrapText="1"/>
    </xf>
    <xf numFmtId="0" fontId="20" fillId="0" borderId="44" xfId="0" applyFont="1" applyBorder="1" applyAlignment="1">
      <alignment vertical="center"/>
    </xf>
    <xf numFmtId="0" fontId="0" fillId="0" borderId="0" xfId="0" applyFont="1" applyBorder="1" applyAlignment="1">
      <alignment vertical="center"/>
    </xf>
    <xf numFmtId="0" fontId="0" fillId="0" borderId="30" xfId="0" applyBorder="1" applyAlignment="1">
      <alignment vertical="center"/>
    </xf>
    <xf numFmtId="0" fontId="0" fillId="0" borderId="0" xfId="0" applyBorder="1" applyAlignment="1">
      <alignment vertical="center"/>
    </xf>
    <xf numFmtId="0" fontId="20" fillId="0" borderId="51" xfId="0" applyFont="1" applyBorder="1" applyAlignment="1">
      <alignment vertical="center"/>
    </xf>
    <xf numFmtId="0" fontId="0" fillId="0" borderId="52" xfId="0" applyBorder="1" applyAlignment="1">
      <alignment vertical="center"/>
    </xf>
    <xf numFmtId="0" fontId="0" fillId="0" borderId="29" xfId="0" applyBorder="1" applyAlignment="1">
      <alignment vertical="center"/>
    </xf>
    <xf numFmtId="0" fontId="0" fillId="0" borderId="0" xfId="0" applyAlignment="1">
      <alignment vertical="center"/>
    </xf>
    <xf numFmtId="0" fontId="3" fillId="23" borderId="36" xfId="0" applyFont="1" applyFill="1" applyBorder="1" applyAlignment="1">
      <alignment horizontal="center" vertical="center"/>
    </xf>
    <xf numFmtId="0" fontId="3" fillId="0" borderId="43" xfId="0" applyFont="1" applyFill="1" applyBorder="1" applyAlignment="1">
      <alignment horizontal="center" vertical="center"/>
    </xf>
    <xf numFmtId="0" fontId="7" fillId="0" borderId="17" xfId="0" quotePrefix="1" applyFont="1" applyBorder="1" applyAlignment="1">
      <alignment vertical="center" wrapText="1"/>
    </xf>
    <xf numFmtId="0" fontId="41" fillId="23" borderId="4" xfId="0" applyFont="1" applyFill="1" applyBorder="1" applyAlignment="1">
      <alignment vertical="center" wrapText="1"/>
    </xf>
    <xf numFmtId="0" fontId="40" fillId="23" borderId="36" xfId="0" applyFont="1" applyFill="1" applyBorder="1" applyAlignment="1">
      <alignment horizontal="center" vertical="center"/>
    </xf>
    <xf numFmtId="0" fontId="2" fillId="0" borderId="0" xfId="0" applyFont="1" applyAlignment="1">
      <alignment horizontal="center" vertical="center"/>
    </xf>
    <xf numFmtId="0" fontId="0" fillId="0" borderId="71" xfId="0" applyBorder="1" applyAlignment="1">
      <alignment vertical="center" wrapText="1"/>
    </xf>
    <xf numFmtId="0" fontId="0" fillId="0" borderId="79" xfId="0" applyBorder="1" applyAlignment="1">
      <alignment vertical="center" wrapText="1"/>
    </xf>
    <xf numFmtId="0" fontId="9" fillId="0" borderId="47" xfId="0" applyFont="1" applyBorder="1" applyAlignment="1">
      <alignment vertical="center" wrapText="1"/>
    </xf>
    <xf numFmtId="0" fontId="0" fillId="0" borderId="17" xfId="0" applyBorder="1" applyAlignment="1">
      <alignment horizontal="center" vertical="center"/>
    </xf>
    <xf numFmtId="0" fontId="0" fillId="0" borderId="3" xfId="0" applyBorder="1" applyAlignment="1">
      <alignment horizontal="center" vertical="center"/>
    </xf>
    <xf numFmtId="0" fontId="3" fillId="2" borderId="19" xfId="0" applyFont="1" applyFill="1" applyBorder="1" applyAlignment="1">
      <alignment horizontal="left" vertical="center" wrapText="1"/>
    </xf>
    <xf numFmtId="0" fontId="0" fillId="0" borderId="28" xfId="0" applyBorder="1" applyAlignment="1">
      <alignment vertical="center" wrapText="1"/>
    </xf>
    <xf numFmtId="0" fontId="0" fillId="0" borderId="64" xfId="0" applyFill="1" applyBorder="1" applyAlignment="1">
      <alignment horizontal="center" vertical="center"/>
    </xf>
    <xf numFmtId="0" fontId="3" fillId="0" borderId="3" xfId="0" applyFont="1" applyFill="1" applyBorder="1" applyAlignment="1">
      <alignment horizontal="center" vertical="center"/>
    </xf>
    <xf numFmtId="0" fontId="0" fillId="0" borderId="76" xfId="0" applyBorder="1" applyAlignment="1">
      <alignment vertical="center" wrapText="1"/>
    </xf>
    <xf numFmtId="0" fontId="0" fillId="0" borderId="10" xfId="0" applyBorder="1" applyAlignment="1">
      <alignment horizontal="center" vertical="center"/>
    </xf>
    <xf numFmtId="0" fontId="0" fillId="0" borderId="28" xfId="0" applyFont="1" applyBorder="1"/>
    <xf numFmtId="42" fontId="11" fillId="3" borderId="3" xfId="0" applyNumberFormat="1" applyFont="1" applyFill="1" applyBorder="1"/>
    <xf numFmtId="9" fontId="0" fillId="10" borderId="37" xfId="0" applyNumberFormat="1" applyFont="1" applyFill="1" applyBorder="1" applyAlignment="1">
      <alignment horizontal="center"/>
    </xf>
    <xf numFmtId="9" fontId="0" fillId="10" borderId="39" xfId="0" applyNumberFormat="1" applyFont="1" applyFill="1" applyBorder="1" applyAlignment="1">
      <alignment horizontal="center"/>
    </xf>
    <xf numFmtId="42" fontId="0" fillId="10" borderId="9" xfId="0" applyNumberFormat="1" applyFont="1" applyFill="1" applyBorder="1"/>
    <xf numFmtId="42" fontId="11" fillId="3" borderId="48" xfId="0" applyNumberFormat="1" applyFont="1" applyFill="1" applyBorder="1" applyAlignment="1">
      <alignment horizontal="center"/>
    </xf>
    <xf numFmtId="42" fontId="11" fillId="3" borderId="5" xfId="0" applyNumberFormat="1" applyFont="1" applyFill="1" applyBorder="1" applyAlignment="1">
      <alignment horizontal="center"/>
    </xf>
    <xf numFmtId="42" fontId="0" fillId="10" borderId="53" xfId="0" applyNumberFormat="1" applyFont="1" applyFill="1" applyBorder="1" applyAlignment="1">
      <alignment horizontal="center"/>
    </xf>
    <xf numFmtId="42" fontId="11" fillId="3" borderId="40" xfId="0" applyNumberFormat="1" applyFont="1" applyFill="1" applyBorder="1" applyAlignment="1">
      <alignment horizontal="center"/>
    </xf>
    <xf numFmtId="0" fontId="3" fillId="2" borderId="61" xfId="0" applyFont="1" applyFill="1" applyBorder="1" applyAlignment="1">
      <alignment horizontal="center"/>
    </xf>
    <xf numFmtId="0" fontId="3" fillId="3" borderId="59" xfId="0" applyFont="1" applyFill="1" applyBorder="1" applyAlignment="1">
      <alignment horizontal="right"/>
    </xf>
    <xf numFmtId="167" fontId="0" fillId="10" borderId="11" xfId="0" applyNumberFormat="1" applyFont="1" applyFill="1" applyBorder="1" applyAlignment="1">
      <alignment horizontal="center"/>
    </xf>
    <xf numFmtId="0" fontId="0" fillId="10" borderId="11" xfId="0" applyFont="1" applyFill="1" applyBorder="1" applyAlignment="1">
      <alignment horizontal="center"/>
    </xf>
    <xf numFmtId="0" fontId="0" fillId="10" borderId="20" xfId="0" applyFont="1" applyFill="1" applyBorder="1" applyAlignment="1">
      <alignment horizontal="center"/>
    </xf>
    <xf numFmtId="42" fontId="0" fillId="10" borderId="44" xfId="0" applyNumberFormat="1" applyFont="1" applyFill="1" applyBorder="1" applyAlignment="1">
      <alignment horizontal="center"/>
    </xf>
    <xf numFmtId="42" fontId="11" fillId="3" borderId="4" xfId="0" applyNumberFormat="1" applyFont="1" applyFill="1" applyBorder="1" applyAlignment="1">
      <alignment horizontal="center"/>
    </xf>
    <xf numFmtId="42" fontId="11" fillId="3" borderId="70" xfId="0" applyNumberFormat="1" applyFont="1" applyFill="1" applyBorder="1" applyAlignment="1">
      <alignment horizontal="center"/>
    </xf>
    <xf numFmtId="42" fontId="11" fillId="3" borderId="3" xfId="0" applyNumberFormat="1" applyFont="1" applyFill="1" applyBorder="1" applyAlignment="1">
      <alignment horizontal="center"/>
    </xf>
    <xf numFmtId="42" fontId="0" fillId="10" borderId="7" xfId="0" applyNumberFormat="1" applyFont="1" applyFill="1" applyBorder="1"/>
    <xf numFmtId="42" fontId="0" fillId="10" borderId="1" xfId="0" applyNumberFormat="1" applyFont="1" applyFill="1" applyBorder="1"/>
    <xf numFmtId="42" fontId="0" fillId="10" borderId="37" xfId="0" applyNumberFormat="1" applyFont="1" applyFill="1" applyBorder="1"/>
    <xf numFmtId="42" fontId="0" fillId="10" borderId="78" xfId="0" applyNumberFormat="1" applyFont="1" applyFill="1" applyBorder="1"/>
    <xf numFmtId="42" fontId="0" fillId="10" borderId="6" xfId="0" applyNumberFormat="1" applyFont="1" applyFill="1" applyBorder="1"/>
    <xf numFmtId="42" fontId="0" fillId="10" borderId="42" xfId="0" applyNumberFormat="1" applyFont="1" applyFill="1" applyBorder="1"/>
    <xf numFmtId="0" fontId="0" fillId="0" borderId="0" xfId="0" applyAlignment="1">
      <alignment vertical="center"/>
    </xf>
    <xf numFmtId="0" fontId="3" fillId="0" borderId="33" xfId="0" applyFont="1" applyFill="1" applyBorder="1" applyAlignment="1">
      <alignment horizontal="center" vertical="center"/>
    </xf>
    <xf numFmtId="0" fontId="41" fillId="23" borderId="4" xfId="0" quotePrefix="1" applyFont="1" applyFill="1" applyBorder="1" applyAlignment="1">
      <alignment vertical="center" wrapText="1"/>
    </xf>
    <xf numFmtId="0" fontId="47" fillId="23" borderId="4" xfId="0" applyFont="1" applyFill="1" applyBorder="1" applyAlignment="1">
      <alignment horizontal="left" vertical="center" wrapText="1"/>
    </xf>
    <xf numFmtId="0" fontId="10" fillId="0" borderId="34" xfId="0" applyFont="1" applyBorder="1" applyAlignment="1">
      <alignment horizontal="center" vertical="center"/>
    </xf>
    <xf numFmtId="0" fontId="3" fillId="15" borderId="36" xfId="0" applyFont="1" applyFill="1" applyBorder="1" applyAlignment="1">
      <alignment horizontal="center" vertical="center"/>
    </xf>
    <xf numFmtId="0" fontId="3" fillId="15" borderId="4" xfId="0" quotePrefix="1" applyFont="1" applyFill="1" applyBorder="1" applyAlignment="1">
      <alignment horizontal="right" vertical="center" wrapText="1"/>
    </xf>
    <xf numFmtId="0" fontId="0" fillId="0" borderId="6" xfId="0" quotePrefix="1" applyFont="1" applyBorder="1" applyAlignment="1">
      <alignment vertical="center" wrapText="1"/>
    </xf>
    <xf numFmtId="0" fontId="3" fillId="15" borderId="4" xfId="0" applyFont="1" applyFill="1" applyBorder="1" applyAlignment="1">
      <alignment horizontal="right" vertical="center" wrapText="1"/>
    </xf>
    <xf numFmtId="0" fontId="11" fillId="0" borderId="34" xfId="0" applyFont="1" applyFill="1" applyBorder="1" applyAlignment="1">
      <alignment horizontal="center" vertical="center"/>
    </xf>
    <xf numFmtId="0" fontId="3" fillId="0" borderId="34" xfId="0" applyFont="1" applyFill="1" applyBorder="1" applyAlignment="1">
      <alignment horizontal="center" vertical="center"/>
    </xf>
    <xf numFmtId="0" fontId="11" fillId="15" borderId="4" xfId="0" applyFont="1" applyFill="1" applyBorder="1" applyAlignment="1">
      <alignment horizontal="right" vertical="center" wrapText="1"/>
    </xf>
    <xf numFmtId="0" fontId="45" fillId="15" borderId="4" xfId="0" applyFont="1" applyFill="1" applyBorder="1" applyAlignment="1">
      <alignment horizontal="right" vertical="center" wrapText="1"/>
    </xf>
    <xf numFmtId="0" fontId="28" fillId="15" borderId="4" xfId="0" applyFont="1" applyFill="1" applyBorder="1" applyAlignment="1">
      <alignment horizontal="right" vertical="center" wrapText="1"/>
    </xf>
    <xf numFmtId="0" fontId="11" fillId="15" borderId="36" xfId="0" applyFont="1" applyFill="1" applyBorder="1" applyAlignment="1">
      <alignment horizontal="center" vertical="center"/>
    </xf>
    <xf numFmtId="0" fontId="48" fillId="15" borderId="4" xfId="0" applyFont="1" applyFill="1" applyBorder="1" applyAlignment="1">
      <alignment horizontal="right" vertical="center" wrapText="1"/>
    </xf>
    <xf numFmtId="0" fontId="3" fillId="2" borderId="50" xfId="0" applyFont="1" applyFill="1" applyBorder="1" applyAlignment="1">
      <alignment horizontal="right"/>
    </xf>
    <xf numFmtId="0" fontId="9" fillId="0" borderId="58" xfId="1" applyFont="1" applyFill="1" applyBorder="1" applyAlignment="1">
      <alignment horizontal="left" vertical="top"/>
    </xf>
    <xf numFmtId="0" fontId="9" fillId="0" borderId="58" xfId="1" applyFont="1" applyBorder="1" applyAlignment="1">
      <alignment vertical="top"/>
    </xf>
    <xf numFmtId="0" fontId="0" fillId="0" borderId="72" xfId="0" applyFont="1" applyBorder="1"/>
    <xf numFmtId="0" fontId="0" fillId="0" borderId="9" xfId="0" applyFont="1" applyBorder="1"/>
    <xf numFmtId="0" fontId="0" fillId="0" borderId="8" xfId="0" applyFont="1" applyBorder="1" applyAlignment="1">
      <alignment horizontal="center"/>
    </xf>
    <xf numFmtId="0" fontId="0" fillId="2" borderId="8" xfId="0" applyFont="1" applyFill="1" applyBorder="1" applyAlignment="1">
      <alignment horizontal="center"/>
    </xf>
    <xf numFmtId="0" fontId="31" fillId="0" borderId="41" xfId="0" applyFont="1" applyFill="1" applyBorder="1" applyAlignment="1">
      <alignment horizontal="center" vertical="center" wrapText="1"/>
    </xf>
    <xf numFmtId="0" fontId="31" fillId="0" borderId="37" xfId="0" applyFont="1" applyFill="1" applyBorder="1" applyAlignment="1">
      <alignment horizontal="center" vertical="center" wrapText="1"/>
    </xf>
    <xf numFmtId="0" fontId="3" fillId="0" borderId="27" xfId="0" applyFont="1" applyBorder="1" applyAlignment="1">
      <alignment horizontal="center" vertical="center"/>
    </xf>
    <xf numFmtId="0" fontId="2" fillId="15" borderId="36" xfId="0" applyFont="1" applyFill="1" applyBorder="1" applyAlignment="1">
      <alignment horizontal="center" vertical="center"/>
    </xf>
    <xf numFmtId="0" fontId="3" fillId="15" borderId="40" xfId="0" applyFont="1" applyFill="1" applyBorder="1" applyAlignment="1">
      <alignment horizontal="center" vertical="center"/>
    </xf>
    <xf numFmtId="0" fontId="2" fillId="15" borderId="4" xfId="0" applyFont="1" applyFill="1" applyBorder="1" applyAlignment="1">
      <alignment horizontal="right" vertical="center" wrapText="1"/>
    </xf>
    <xf numFmtId="0" fontId="2" fillId="3" borderId="36" xfId="0" applyFont="1" applyFill="1" applyBorder="1" applyAlignment="1">
      <alignment horizontal="center" vertical="center"/>
    </xf>
    <xf numFmtId="0" fontId="28" fillId="3" borderId="4" xfId="0" applyFont="1" applyFill="1" applyBorder="1" applyAlignment="1">
      <alignment horizontal="right" vertical="center" wrapText="1"/>
    </xf>
    <xf numFmtId="0" fontId="3" fillId="0" borderId="77" xfId="0" applyFont="1" applyFill="1" applyBorder="1" applyAlignment="1">
      <alignment horizontal="center" vertical="center"/>
    </xf>
    <xf numFmtId="0" fontId="11" fillId="0" borderId="34" xfId="0" applyFont="1" applyBorder="1" applyAlignment="1">
      <alignment horizontal="center" vertical="center"/>
    </xf>
    <xf numFmtId="0" fontId="3" fillId="23" borderId="40" xfId="0" applyFont="1" applyFill="1" applyBorder="1" applyAlignment="1">
      <alignment horizontal="center" vertical="center"/>
    </xf>
    <xf numFmtId="0" fontId="3" fillId="6" borderId="40" xfId="0" quotePrefix="1" applyFont="1" applyFill="1" applyBorder="1" applyAlignment="1">
      <alignment horizontal="center" vertical="center"/>
    </xf>
    <xf numFmtId="0" fontId="3" fillId="0" borderId="38" xfId="0" quotePrefix="1" applyFont="1" applyBorder="1" applyAlignment="1">
      <alignment horizontal="center" vertical="center"/>
    </xf>
    <xf numFmtId="0" fontId="3" fillId="0" borderId="37" xfId="0" quotePrefix="1" applyFont="1" applyBorder="1" applyAlignment="1">
      <alignment horizontal="center" vertical="center"/>
    </xf>
    <xf numFmtId="0" fontId="3" fillId="0" borderId="39" xfId="0" quotePrefix="1" applyFont="1" applyBorder="1" applyAlignment="1">
      <alignment horizontal="center" vertical="center"/>
    </xf>
    <xf numFmtId="0" fontId="3" fillId="0" borderId="27" xfId="0" applyFont="1" applyFill="1" applyBorder="1" applyAlignment="1">
      <alignment horizontal="center" vertical="center"/>
    </xf>
    <xf numFmtId="0" fontId="44" fillId="6" borderId="40" xfId="0" applyFont="1" applyFill="1" applyBorder="1" applyAlignment="1">
      <alignment horizontal="center" vertical="center"/>
    </xf>
    <xf numFmtId="0" fontId="3" fillId="0" borderId="41" xfId="0" quotePrefix="1" applyFont="1" applyBorder="1" applyAlignment="1">
      <alignment horizontal="center" vertical="center"/>
    </xf>
    <xf numFmtId="0" fontId="3" fillId="0" borderId="27" xfId="0" quotePrefix="1" applyFont="1" applyBorder="1" applyAlignment="1">
      <alignment horizontal="center" vertical="center"/>
    </xf>
    <xf numFmtId="0" fontId="3" fillId="0" borderId="41" xfId="0" applyFont="1" applyBorder="1" applyAlignment="1">
      <alignment horizontal="center" vertical="center"/>
    </xf>
    <xf numFmtId="0" fontId="3" fillId="0" borderId="40" xfId="0" applyFont="1" applyBorder="1" applyAlignment="1">
      <alignment horizontal="center" vertical="center"/>
    </xf>
    <xf numFmtId="0" fontId="3" fillId="6" borderId="40" xfId="0" applyFont="1" applyFill="1" applyBorder="1" applyAlignment="1">
      <alignment horizontal="center" vertical="center"/>
    </xf>
    <xf numFmtId="0" fontId="11" fillId="0" borderId="39" xfId="0" quotePrefix="1" applyFont="1" applyBorder="1" applyAlignment="1">
      <alignment horizontal="center" vertical="center"/>
    </xf>
    <xf numFmtId="0" fontId="3" fillId="15" borderId="40" xfId="0" quotePrefix="1" applyFont="1" applyFill="1" applyBorder="1" applyAlignment="1">
      <alignment horizontal="center" vertical="center"/>
    </xf>
    <xf numFmtId="0" fontId="3" fillId="0" borderId="42" xfId="0" quotePrefix="1" applyFont="1" applyBorder="1" applyAlignment="1">
      <alignment horizontal="center" vertical="center"/>
    </xf>
    <xf numFmtId="0" fontId="3" fillId="0" borderId="0" xfId="0" applyFont="1" applyBorder="1" applyAlignment="1">
      <alignment horizontal="center" vertical="center"/>
    </xf>
    <xf numFmtId="0" fontId="3" fillId="0" borderId="37" xfId="0" applyFont="1" applyBorder="1" applyAlignment="1">
      <alignment horizontal="center" vertical="center"/>
    </xf>
    <xf numFmtId="0" fontId="3" fillId="3" borderId="40" xfId="0" applyFont="1" applyFill="1" applyBorder="1" applyAlignment="1">
      <alignment horizontal="center" vertical="center"/>
    </xf>
    <xf numFmtId="0" fontId="10" fillId="0" borderId="37" xfId="0" applyFont="1" applyBorder="1" applyAlignment="1">
      <alignment horizontal="center" vertical="center"/>
    </xf>
    <xf numFmtId="0" fontId="2" fillId="15" borderId="40" xfId="0" applyFont="1" applyFill="1" applyBorder="1" applyAlignment="1">
      <alignment horizontal="center" vertical="center"/>
    </xf>
    <xf numFmtId="0" fontId="9" fillId="23" borderId="40" xfId="0" applyFont="1" applyFill="1" applyBorder="1" applyAlignment="1">
      <alignment vertical="center"/>
    </xf>
    <xf numFmtId="0" fontId="3" fillId="0" borderId="38" xfId="0" applyFont="1" applyBorder="1" applyAlignment="1">
      <alignment horizontal="center" vertical="center"/>
    </xf>
    <xf numFmtId="0" fontId="2" fillId="15" borderId="40" xfId="0" quotePrefix="1" applyFont="1" applyFill="1" applyBorder="1" applyAlignment="1">
      <alignment horizontal="center" vertical="center"/>
    </xf>
    <xf numFmtId="0" fontId="11" fillId="0" borderId="37" xfId="0" quotePrefix="1" applyFont="1" applyBorder="1" applyAlignment="1">
      <alignment horizontal="center" vertical="center"/>
    </xf>
    <xf numFmtId="0" fontId="3" fillId="0" borderId="41" xfId="0" applyFont="1" applyFill="1" applyBorder="1" applyAlignment="1">
      <alignment horizontal="center" vertical="center"/>
    </xf>
    <xf numFmtId="164" fontId="10" fillId="0" borderId="37" xfId="0" applyNumberFormat="1" applyFont="1" applyBorder="1" applyAlignment="1">
      <alignment horizontal="center" vertical="center"/>
    </xf>
    <xf numFmtId="0" fontId="11" fillId="15" borderId="40" xfId="0" applyFont="1" applyFill="1" applyBorder="1" applyAlignment="1">
      <alignment horizontal="center" vertical="center"/>
    </xf>
    <xf numFmtId="0" fontId="40" fillId="23" borderId="40" xfId="0" applyFont="1" applyFill="1" applyBorder="1" applyAlignment="1">
      <alignment horizontal="center" vertical="center"/>
    </xf>
    <xf numFmtId="164" fontId="3" fillId="8" borderId="37" xfId="0" quotePrefix="1" applyNumberFormat="1" applyFont="1" applyFill="1" applyBorder="1" applyAlignment="1">
      <alignment horizontal="center" vertical="center"/>
    </xf>
    <xf numFmtId="0" fontId="31" fillId="0" borderId="51" xfId="0" applyFont="1" applyFill="1" applyBorder="1" applyAlignment="1">
      <alignment horizontal="center" vertical="center" wrapText="1"/>
    </xf>
    <xf numFmtId="0" fontId="42" fillId="2" borderId="48" xfId="0" applyFont="1" applyFill="1" applyBorder="1" applyAlignment="1">
      <alignment horizontal="center" vertical="center" wrapText="1"/>
    </xf>
    <xf numFmtId="0" fontId="28" fillId="2" borderId="36" xfId="0" applyFont="1" applyFill="1" applyBorder="1" applyAlignment="1">
      <alignment horizontal="center" vertical="center"/>
    </xf>
    <xf numFmtId="0" fontId="0" fillId="3" borderId="4" xfId="0" applyFont="1" applyFill="1" applyBorder="1" applyAlignment="1">
      <alignment vertical="center" wrapText="1"/>
    </xf>
    <xf numFmtId="0" fontId="3" fillId="3" borderId="40" xfId="0" quotePrefix="1" applyFont="1" applyFill="1" applyBorder="1" applyAlignment="1">
      <alignment horizontal="center" vertical="center"/>
    </xf>
    <xf numFmtId="42" fontId="0" fillId="16" borderId="1" xfId="0" applyNumberFormat="1" applyFill="1" applyBorder="1" applyAlignment="1">
      <alignment horizontal="center" vertical="center"/>
    </xf>
    <xf numFmtId="42" fontId="11" fillId="10" borderId="15" xfId="1" applyNumberFormat="1" applyFont="1" applyFill="1" applyBorder="1" applyAlignment="1">
      <alignment horizontal="center" vertical="top"/>
    </xf>
    <xf numFmtId="42" fontId="11" fillId="10" borderId="9" xfId="1" applyNumberFormat="1" applyFont="1" applyFill="1" applyBorder="1" applyAlignment="1">
      <alignment horizontal="center" vertical="top"/>
    </xf>
    <xf numFmtId="42" fontId="3" fillId="10" borderId="10" xfId="0" applyNumberFormat="1" applyFont="1" applyFill="1" applyBorder="1"/>
    <xf numFmtId="0" fontId="0" fillId="0" borderId="56" xfId="0" applyFont="1" applyBorder="1" applyAlignment="1">
      <alignment horizontal="center"/>
    </xf>
    <xf numFmtId="0" fontId="0" fillId="0" borderId="54" xfId="0" applyFont="1" applyBorder="1" applyAlignment="1">
      <alignment horizontal="center"/>
    </xf>
    <xf numFmtId="0" fontId="0" fillId="0" borderId="57" xfId="0" applyFont="1" applyBorder="1" applyAlignment="1">
      <alignment horizontal="center"/>
    </xf>
    <xf numFmtId="0" fontId="0" fillId="0" borderId="9" xfId="0" applyFont="1" applyBorder="1" applyAlignment="1">
      <alignment horizontal="center"/>
    </xf>
    <xf numFmtId="0" fontId="0" fillId="0" borderId="26" xfId="0" applyFont="1" applyBorder="1" applyAlignment="1">
      <alignment horizontal="center"/>
    </xf>
    <xf numFmtId="0" fontId="3" fillId="3" borderId="3" xfId="0" applyFont="1" applyFill="1" applyBorder="1" applyAlignment="1">
      <alignment horizontal="right"/>
    </xf>
    <xf numFmtId="0" fontId="3" fillId="3" borderId="28" xfId="0" applyFont="1" applyFill="1" applyBorder="1" applyAlignment="1">
      <alignment horizontal="right"/>
    </xf>
    <xf numFmtId="0" fontId="3" fillId="10" borderId="59" xfId="0" applyFont="1" applyFill="1" applyBorder="1" applyAlignment="1">
      <alignment horizontal="center"/>
    </xf>
    <xf numFmtId="0" fontId="3" fillId="10" borderId="63" xfId="0" applyFont="1" applyFill="1" applyBorder="1" applyAlignment="1">
      <alignment horizontal="center"/>
    </xf>
    <xf numFmtId="9" fontId="0" fillId="10" borderId="41" xfId="0" applyNumberFormat="1" applyFont="1" applyFill="1" applyBorder="1" applyAlignment="1">
      <alignment horizontal="center"/>
    </xf>
    <xf numFmtId="42" fontId="0" fillId="10" borderId="15" xfId="0" applyNumberFormat="1" applyFont="1" applyFill="1" applyBorder="1"/>
    <xf numFmtId="42" fontId="0" fillId="10" borderId="16" xfId="0" applyNumberFormat="1" applyFont="1" applyFill="1" applyBorder="1"/>
    <xf numFmtId="42" fontId="0" fillId="10" borderId="17" xfId="0" applyNumberFormat="1" applyFont="1" applyFill="1" applyBorder="1"/>
    <xf numFmtId="42" fontId="0" fillId="10" borderId="41" xfId="0" applyNumberFormat="1" applyFont="1" applyFill="1" applyBorder="1"/>
    <xf numFmtId="0" fontId="3" fillId="2" borderId="80" xfId="0" applyFont="1" applyFill="1" applyBorder="1"/>
    <xf numFmtId="0" fontId="0" fillId="10" borderId="76" xfId="0" applyFont="1" applyFill="1" applyBorder="1"/>
    <xf numFmtId="0" fontId="0" fillId="10" borderId="7" xfId="0" applyFont="1" applyFill="1" applyBorder="1"/>
    <xf numFmtId="0" fontId="0" fillId="10" borderId="68" xfId="0" applyFont="1" applyFill="1" applyBorder="1"/>
    <xf numFmtId="0" fontId="0" fillId="0" borderId="9" xfId="0" applyFont="1" applyFill="1" applyBorder="1" applyAlignment="1">
      <alignment horizontal="center"/>
    </xf>
    <xf numFmtId="0" fontId="0" fillId="0" borderId="26" xfId="0" applyFont="1" applyFill="1" applyBorder="1" applyAlignment="1">
      <alignment horizontal="center"/>
    </xf>
    <xf numFmtId="0" fontId="0" fillId="0" borderId="15" xfId="0" applyFont="1" applyBorder="1" applyAlignment="1">
      <alignment horizontal="center"/>
    </xf>
    <xf numFmtId="42" fontId="0" fillId="16" borderId="11" xfId="0" applyNumberFormat="1" applyFill="1" applyBorder="1" applyAlignment="1">
      <alignment horizontal="center" vertical="center"/>
    </xf>
    <xf numFmtId="42" fontId="0" fillId="16" borderId="20" xfId="0" applyNumberFormat="1" applyFill="1" applyBorder="1" applyAlignment="1">
      <alignment horizontal="center" vertical="center"/>
    </xf>
    <xf numFmtId="42" fontId="0" fillId="16" borderId="38" xfId="0" applyNumberFormat="1" applyFill="1" applyBorder="1" applyAlignment="1">
      <alignment horizontal="center" vertical="center"/>
    </xf>
    <xf numFmtId="0" fontId="9" fillId="16" borderId="45" xfId="0" applyFont="1" applyFill="1" applyBorder="1" applyAlignment="1">
      <alignment vertical="center"/>
    </xf>
    <xf numFmtId="42" fontId="0" fillId="16" borderId="37" xfId="0" applyNumberFormat="1" applyFill="1" applyBorder="1" applyAlignment="1">
      <alignment horizontal="center" vertical="center"/>
    </xf>
    <xf numFmtId="0" fontId="9" fillId="16" borderId="46" xfId="0" applyFont="1" applyFill="1" applyBorder="1" applyAlignment="1">
      <alignment vertical="center"/>
    </xf>
    <xf numFmtId="0" fontId="9" fillId="16" borderId="47" xfId="0" applyFont="1" applyFill="1" applyBorder="1" applyAlignment="1">
      <alignment vertical="center"/>
    </xf>
    <xf numFmtId="0" fontId="9" fillId="16" borderId="31" xfId="0" applyFont="1" applyFill="1" applyBorder="1" applyAlignment="1">
      <alignment vertical="center"/>
    </xf>
    <xf numFmtId="0" fontId="9" fillId="16" borderId="58" xfId="0" applyFont="1" applyFill="1" applyBorder="1" applyAlignment="1">
      <alignment vertical="center"/>
    </xf>
    <xf numFmtId="0" fontId="9" fillId="16" borderId="32" xfId="0" applyFont="1" applyFill="1" applyBorder="1" applyAlignment="1">
      <alignment vertical="center"/>
    </xf>
    <xf numFmtId="0" fontId="9" fillId="16" borderId="38" xfId="0" applyFont="1" applyFill="1" applyBorder="1" applyAlignment="1">
      <alignment vertical="center"/>
    </xf>
    <xf numFmtId="0" fontId="9" fillId="16" borderId="37" xfId="0" applyFont="1" applyFill="1" applyBorder="1" applyAlignment="1">
      <alignment vertical="center"/>
    </xf>
    <xf numFmtId="0" fontId="9" fillId="16" borderId="39" xfId="0" applyFont="1" applyFill="1" applyBorder="1" applyAlignment="1">
      <alignment vertical="center"/>
    </xf>
    <xf numFmtId="42" fontId="0" fillId="16" borderId="39" xfId="0" applyNumberFormat="1" applyFill="1" applyBorder="1" applyAlignment="1">
      <alignment horizontal="center" vertical="center"/>
    </xf>
    <xf numFmtId="42" fontId="0" fillId="16" borderId="41" xfId="0" applyNumberFormat="1" applyFill="1" applyBorder="1" applyAlignment="1">
      <alignment horizontal="center" vertical="center"/>
    </xf>
    <xf numFmtId="42" fontId="0" fillId="16" borderId="17" xfId="0" applyNumberFormat="1" applyFill="1" applyBorder="1" applyAlignment="1">
      <alignment horizontal="center" vertical="center"/>
    </xf>
    <xf numFmtId="0" fontId="9" fillId="16" borderId="71" xfId="0" applyFont="1" applyFill="1" applyBorder="1" applyAlignment="1">
      <alignment vertical="center"/>
    </xf>
    <xf numFmtId="42" fontId="0" fillId="16" borderId="42" xfId="0" applyNumberFormat="1" applyFill="1" applyBorder="1" applyAlignment="1">
      <alignment horizontal="center" vertical="center"/>
    </xf>
    <xf numFmtId="42" fontId="0" fillId="16" borderId="6" xfId="0" applyNumberFormat="1" applyFill="1" applyBorder="1" applyAlignment="1">
      <alignment horizontal="center" vertical="center"/>
    </xf>
    <xf numFmtId="0" fontId="3" fillId="24" borderId="36" xfId="0" applyFont="1" applyFill="1" applyBorder="1" applyAlignment="1">
      <alignment horizontal="right" vertical="center"/>
    </xf>
    <xf numFmtId="167" fontId="3" fillId="24" borderId="5" xfId="0" applyNumberFormat="1" applyFont="1" applyFill="1" applyBorder="1" applyAlignment="1">
      <alignment horizontal="center" vertical="center"/>
    </xf>
    <xf numFmtId="44" fontId="0" fillId="16" borderId="9" xfId="0" applyNumberFormat="1" applyFill="1" applyBorder="1" applyAlignment="1">
      <alignment vertical="center"/>
    </xf>
    <xf numFmtId="0" fontId="0" fillId="16" borderId="33" xfId="0" applyFill="1" applyBorder="1" applyAlignment="1">
      <alignment horizontal="center" vertical="center"/>
    </xf>
    <xf numFmtId="0" fontId="0" fillId="16" borderId="34" xfId="0" applyFill="1" applyBorder="1" applyAlignment="1">
      <alignment horizontal="center" vertical="center"/>
    </xf>
    <xf numFmtId="0" fontId="0" fillId="16" borderId="35" xfId="0" applyFill="1" applyBorder="1" applyAlignment="1">
      <alignment horizontal="center" vertical="center"/>
    </xf>
    <xf numFmtId="44" fontId="9" fillId="0" borderId="6" xfId="0" applyNumberFormat="1" applyFont="1" applyBorder="1" applyAlignment="1">
      <alignment vertical="center"/>
    </xf>
    <xf numFmtId="44" fontId="9" fillId="0" borderId="17" xfId="0" applyNumberFormat="1" applyFont="1" applyBorder="1" applyAlignment="1">
      <alignment vertical="center"/>
    </xf>
    <xf numFmtId="0" fontId="0" fillId="3" borderId="50" xfId="0" applyFill="1" applyBorder="1" applyAlignment="1">
      <alignment horizontal="center" vertical="center"/>
    </xf>
    <xf numFmtId="0" fontId="0" fillId="16" borderId="69" xfId="0" applyFill="1" applyBorder="1" applyAlignment="1">
      <alignment horizontal="center" vertical="center"/>
    </xf>
    <xf numFmtId="0" fontId="0" fillId="16" borderId="58" xfId="0" applyFill="1" applyBorder="1" applyAlignment="1">
      <alignment horizontal="center" vertical="center"/>
    </xf>
    <xf numFmtId="0" fontId="0" fillId="16" borderId="32" xfId="0" applyFill="1" applyBorder="1" applyAlignment="1">
      <alignment horizontal="center" vertical="center"/>
    </xf>
    <xf numFmtId="1" fontId="0" fillId="16" borderId="8" xfId="0" applyNumberFormat="1" applyFill="1" applyBorder="1" applyAlignment="1">
      <alignment horizontal="center" vertical="center"/>
    </xf>
    <xf numFmtId="1" fontId="0" fillId="16" borderId="26" xfId="0" applyNumberFormat="1" applyFill="1" applyBorder="1" applyAlignment="1">
      <alignment horizontal="center" vertical="center"/>
    </xf>
    <xf numFmtId="44" fontId="3" fillId="16" borderId="26" xfId="0" applyNumberFormat="1" applyFont="1" applyFill="1" applyBorder="1" applyAlignment="1">
      <alignment vertical="center"/>
    </xf>
    <xf numFmtId="44" fontId="3" fillId="12" borderId="15" xfId="0" applyNumberFormat="1" applyFont="1" applyFill="1" applyBorder="1" applyAlignment="1">
      <alignment horizontal="center" vertical="center"/>
    </xf>
    <xf numFmtId="44" fontId="3" fillId="12" borderId="10" xfId="0" applyNumberFormat="1" applyFont="1" applyFill="1" applyBorder="1" applyAlignment="1">
      <alignment horizontal="center" vertical="center"/>
    </xf>
    <xf numFmtId="44" fontId="3" fillId="3" borderId="8" xfId="0" applyNumberFormat="1" applyFont="1" applyFill="1" applyBorder="1" applyAlignment="1">
      <alignment horizontal="center" vertical="center"/>
    </xf>
    <xf numFmtId="44" fontId="3" fillId="3" borderId="26" xfId="0" applyNumberFormat="1" applyFont="1" applyFill="1" applyBorder="1" applyAlignment="1">
      <alignment horizontal="center" vertical="center"/>
    </xf>
    <xf numFmtId="44" fontId="3" fillId="3" borderId="26" xfId="0" applyNumberFormat="1" applyFont="1" applyFill="1" applyBorder="1" applyAlignment="1">
      <alignment vertical="center"/>
    </xf>
    <xf numFmtId="0" fontId="3" fillId="12" borderId="69" xfId="0" applyFont="1" applyFill="1" applyBorder="1" applyAlignment="1">
      <alignment vertical="center" wrapText="1"/>
    </xf>
    <xf numFmtId="173" fontId="3" fillId="12" borderId="53" xfId="0" applyNumberFormat="1" applyFont="1" applyFill="1" applyBorder="1" applyAlignment="1">
      <alignment horizontal="center" vertical="center"/>
    </xf>
    <xf numFmtId="167" fontId="3" fillId="12" borderId="8" xfId="0" applyNumberFormat="1" applyFont="1" applyFill="1" applyBorder="1" applyAlignment="1">
      <alignment horizontal="center" vertical="center"/>
    </xf>
    <xf numFmtId="0" fontId="3" fillId="12" borderId="58" xfId="0" applyFont="1" applyFill="1" applyBorder="1" applyAlignment="1">
      <alignment vertical="center" wrapText="1"/>
    </xf>
    <xf numFmtId="173" fontId="3" fillId="12" borderId="54" xfId="0" applyNumberFormat="1" applyFont="1" applyFill="1" applyBorder="1" applyAlignment="1">
      <alignment horizontal="center" vertical="center"/>
    </xf>
    <xf numFmtId="0" fontId="3" fillId="12" borderId="32" xfId="0" applyFont="1" applyFill="1" applyBorder="1" applyAlignment="1">
      <alignment vertical="center" wrapText="1"/>
    </xf>
    <xf numFmtId="173" fontId="3" fillId="12" borderId="57" xfId="0" applyNumberFormat="1" applyFont="1" applyFill="1" applyBorder="1" applyAlignment="1">
      <alignment horizontal="center" vertical="center"/>
    </xf>
    <xf numFmtId="167" fontId="3" fillId="12" borderId="26" xfId="0" applyNumberFormat="1" applyFont="1" applyFill="1" applyBorder="1" applyAlignment="1">
      <alignment horizontal="center" vertical="center"/>
    </xf>
    <xf numFmtId="0" fontId="3" fillId="12" borderId="24" xfId="0" applyFont="1" applyFill="1" applyBorder="1" applyAlignment="1">
      <alignment horizontal="center" vertical="center"/>
    </xf>
    <xf numFmtId="0" fontId="3" fillId="2" borderId="48" xfId="0" applyFont="1" applyFill="1" applyBorder="1"/>
    <xf numFmtId="0" fontId="3" fillId="2" borderId="3" xfId="0" applyFont="1" applyFill="1" applyBorder="1"/>
    <xf numFmtId="0" fontId="3" fillId="2" borderId="48" xfId="0" applyFont="1" applyFill="1" applyBorder="1" applyAlignment="1">
      <alignment horizontal="center"/>
    </xf>
    <xf numFmtId="0" fontId="0" fillId="0" borderId="10" xfId="0" applyFont="1" applyBorder="1" applyAlignment="1">
      <alignment horizontal="center"/>
    </xf>
    <xf numFmtId="0" fontId="0" fillId="0" borderId="3" xfId="0" applyFont="1" applyBorder="1" applyAlignment="1">
      <alignment horizontal="center"/>
    </xf>
    <xf numFmtId="0" fontId="0" fillId="0" borderId="15" xfId="0" applyFont="1" applyBorder="1"/>
    <xf numFmtId="1" fontId="3" fillId="16" borderId="3" xfId="0" applyNumberFormat="1" applyFont="1" applyFill="1" applyBorder="1" applyAlignment="1">
      <alignment horizontal="center"/>
    </xf>
    <xf numFmtId="0" fontId="0" fillId="0" borderId="0" xfId="0" applyAlignment="1">
      <alignment vertical="center"/>
    </xf>
    <xf numFmtId="0" fontId="3" fillId="2" borderId="48" xfId="0" applyFont="1" applyFill="1" applyBorder="1" applyAlignment="1">
      <alignment horizontal="center" vertical="center"/>
    </xf>
    <xf numFmtId="0" fontId="0" fillId="0" borderId="0" xfId="0"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43" xfId="0" applyBorder="1" applyAlignment="1">
      <alignment horizontal="center"/>
    </xf>
    <xf numFmtId="0" fontId="3" fillId="2" borderId="36" xfId="0" applyFont="1" applyFill="1" applyBorder="1" applyAlignment="1">
      <alignment horizontal="center"/>
    </xf>
    <xf numFmtId="0" fontId="3" fillId="2" borderId="4" xfId="0" applyFont="1" applyFill="1" applyBorder="1"/>
    <xf numFmtId="0" fontId="3" fillId="2" borderId="4" xfId="0" applyFont="1" applyFill="1" applyBorder="1" applyAlignment="1">
      <alignment horizontal="center"/>
    </xf>
    <xf numFmtId="0" fontId="3" fillId="2" borderId="5" xfId="0" applyFont="1" applyFill="1" applyBorder="1"/>
    <xf numFmtId="0" fontId="3" fillId="2" borderId="5" xfId="0" applyFont="1" applyFill="1" applyBorder="1" applyAlignment="1">
      <alignment horizontal="center"/>
    </xf>
    <xf numFmtId="44" fontId="0" fillId="16" borderId="17" xfId="0" applyNumberFormat="1" applyFill="1" applyBorder="1"/>
    <xf numFmtId="175" fontId="0" fillId="16" borderId="18" xfId="0" applyNumberFormat="1" applyFill="1" applyBorder="1" applyAlignment="1">
      <alignment horizontal="center"/>
    </xf>
    <xf numFmtId="44" fontId="0" fillId="16" borderId="20" xfId="0" applyNumberFormat="1" applyFill="1" applyBorder="1"/>
    <xf numFmtId="175" fontId="0" fillId="16" borderId="21" xfId="0" applyNumberFormat="1" applyFill="1" applyBorder="1" applyAlignment="1">
      <alignment horizontal="center"/>
    </xf>
    <xf numFmtId="175" fontId="0" fillId="16" borderId="17" xfId="0" applyNumberFormat="1" applyFill="1" applyBorder="1" applyAlignment="1">
      <alignment horizontal="center"/>
    </xf>
    <xf numFmtId="0" fontId="0" fillId="16" borderId="18" xfId="0" applyFill="1" applyBorder="1"/>
    <xf numFmtId="175" fontId="0" fillId="16" borderId="1" xfId="0" applyNumberFormat="1" applyFill="1" applyBorder="1" applyAlignment="1">
      <alignment horizontal="center"/>
    </xf>
    <xf numFmtId="0" fontId="0" fillId="16" borderId="13" xfId="0" applyFill="1" applyBorder="1"/>
    <xf numFmtId="175" fontId="0" fillId="16" borderId="20" xfId="0" applyNumberFormat="1" applyFill="1" applyBorder="1" applyAlignment="1">
      <alignment horizontal="center"/>
    </xf>
    <xf numFmtId="0" fontId="0" fillId="16" borderId="21" xfId="0" applyFill="1" applyBorder="1"/>
    <xf numFmtId="42" fontId="3" fillId="2" borderId="4" xfId="0" applyNumberFormat="1" applyFont="1" applyFill="1" applyBorder="1" applyAlignment="1">
      <alignment horizontal="center"/>
    </xf>
    <xf numFmtId="42" fontId="3" fillId="2" borderId="5" xfId="0" applyNumberFormat="1" applyFont="1" applyFill="1" applyBorder="1" applyAlignment="1">
      <alignment horizontal="center"/>
    </xf>
    <xf numFmtId="44" fontId="3" fillId="2" borderId="4" xfId="0" applyNumberFormat="1" applyFont="1" applyFill="1" applyBorder="1" applyAlignment="1">
      <alignment horizontal="center" vertical="center"/>
    </xf>
    <xf numFmtId="44" fontId="3" fillId="3" borderId="28" xfId="0" applyNumberFormat="1" applyFont="1" applyFill="1" applyBorder="1" applyAlignment="1">
      <alignment vertical="center"/>
    </xf>
    <xf numFmtId="0" fontId="0" fillId="0" borderId="1" xfId="0" applyBorder="1" applyAlignment="1">
      <alignment horizontal="center" vertical="center"/>
    </xf>
    <xf numFmtId="0" fontId="10" fillId="0" borderId="9" xfId="1" quotePrefix="1" applyFont="1" applyBorder="1" applyAlignment="1">
      <alignment vertical="top"/>
    </xf>
    <xf numFmtId="6" fontId="11" fillId="3" borderId="3" xfId="1" applyNumberFormat="1" applyFont="1" applyFill="1" applyBorder="1" applyAlignment="1">
      <alignment horizontal="center" vertical="top"/>
    </xf>
    <xf numFmtId="6" fontId="11" fillId="3" borderId="51" xfId="1" applyNumberFormat="1" applyFont="1" applyFill="1" applyBorder="1" applyAlignment="1">
      <alignment horizontal="center" vertical="top"/>
    </xf>
    <xf numFmtId="6" fontId="11" fillId="10" borderId="50" xfId="1" applyNumberFormat="1" applyFont="1" applyFill="1" applyBorder="1" applyAlignment="1">
      <alignment horizontal="center" vertical="top"/>
    </xf>
    <xf numFmtId="6" fontId="11" fillId="10" borderId="3" xfId="1" applyNumberFormat="1" applyFont="1" applyFill="1" applyBorder="1" applyAlignment="1">
      <alignment horizontal="center" vertical="top"/>
    </xf>
    <xf numFmtId="6" fontId="11" fillId="10" borderId="28" xfId="1" applyNumberFormat="1" applyFont="1" applyFill="1" applyBorder="1" applyAlignment="1">
      <alignment horizontal="center" vertical="top"/>
    </xf>
    <xf numFmtId="6" fontId="11" fillId="10" borderId="15" xfId="1" applyNumberFormat="1" applyFont="1" applyFill="1" applyBorder="1" applyAlignment="1">
      <alignment horizontal="center" vertical="top"/>
    </xf>
    <xf numFmtId="6" fontId="25" fillId="0" borderId="0" xfId="1" applyNumberFormat="1" applyFont="1" applyAlignment="1">
      <alignment horizontal="center" vertical="top"/>
    </xf>
    <xf numFmtId="6" fontId="11" fillId="10" borderId="9" xfId="1" applyNumberFormat="1" applyFont="1" applyFill="1" applyBorder="1" applyAlignment="1">
      <alignment horizontal="center" vertical="top"/>
    </xf>
    <xf numFmtId="6" fontId="11" fillId="10" borderId="10" xfId="1" applyNumberFormat="1" applyFont="1" applyFill="1" applyBorder="1" applyAlignment="1">
      <alignment horizontal="center" vertical="top"/>
    </xf>
    <xf numFmtId="6" fontId="11" fillId="3" borderId="3" xfId="1" applyNumberFormat="1" applyFont="1" applyFill="1" applyBorder="1" applyAlignment="1">
      <alignment horizontal="center" vertical="center"/>
    </xf>
    <xf numFmtId="0" fontId="0" fillId="10" borderId="43" xfId="0" applyFont="1" applyFill="1" applyBorder="1" applyAlignment="1">
      <alignment horizontal="center" vertical="center"/>
    </xf>
    <xf numFmtId="0" fontId="0" fillId="10" borderId="34" xfId="0" applyFont="1" applyFill="1" applyBorder="1" applyAlignment="1">
      <alignment horizontal="center" vertical="center"/>
    </xf>
    <xf numFmtId="0" fontId="0" fillId="10" borderId="35" xfId="0" applyFont="1" applyFill="1" applyBorder="1" applyAlignment="1">
      <alignment horizontal="center" vertical="center"/>
    </xf>
    <xf numFmtId="0" fontId="3" fillId="2" borderId="40" xfId="0" applyFont="1" applyFill="1" applyBorder="1" applyAlignment="1">
      <alignment horizontal="center" vertical="center"/>
    </xf>
    <xf numFmtId="0" fontId="0" fillId="0" borderId="0" xfId="0" applyFont="1" applyAlignment="1">
      <alignment vertical="center"/>
    </xf>
    <xf numFmtId="0" fontId="0" fillId="15" borderId="59" xfId="0" applyFill="1" applyBorder="1" applyAlignment="1">
      <alignment horizontal="center"/>
    </xf>
    <xf numFmtId="42" fontId="3" fillId="15" borderId="63" xfId="0" applyNumberFormat="1" applyFont="1" applyFill="1" applyBorder="1" applyAlignment="1">
      <alignment horizontal="center"/>
    </xf>
    <xf numFmtId="0" fontId="0" fillId="3" borderId="48" xfId="0" applyFill="1" applyBorder="1" applyAlignment="1">
      <alignment horizontal="center"/>
    </xf>
    <xf numFmtId="42" fontId="3" fillId="3" borderId="4" xfId="0" applyNumberFormat="1" applyFont="1" applyFill="1" applyBorder="1" applyAlignment="1">
      <alignment horizontal="center"/>
    </xf>
    <xf numFmtId="0" fontId="0" fillId="0" borderId="44" xfId="0" applyBorder="1" applyAlignment="1">
      <alignment horizontal="center"/>
    </xf>
    <xf numFmtId="0" fontId="0" fillId="0" borderId="51" xfId="0" applyBorder="1" applyAlignment="1">
      <alignment horizontal="center"/>
    </xf>
    <xf numFmtId="42" fontId="0" fillId="16" borderId="17" xfId="0" applyNumberFormat="1" applyFill="1" applyBorder="1" applyAlignment="1">
      <alignment horizontal="center"/>
    </xf>
    <xf numFmtId="42" fontId="0" fillId="16" borderId="1" xfId="0" applyNumberFormat="1" applyFill="1" applyBorder="1" applyAlignment="1">
      <alignment horizontal="center"/>
    </xf>
    <xf numFmtId="42" fontId="0" fillId="16" borderId="20" xfId="0" applyNumberFormat="1" applyFill="1" applyBorder="1" applyAlignment="1">
      <alignment horizontal="center"/>
    </xf>
    <xf numFmtId="42" fontId="0" fillId="16" borderId="18" xfId="0" applyNumberFormat="1" applyFill="1" applyBorder="1" applyAlignment="1">
      <alignment horizontal="center"/>
    </xf>
    <xf numFmtId="42" fontId="0" fillId="16" borderId="13" xfId="0" applyNumberFormat="1" applyFill="1" applyBorder="1" applyAlignment="1">
      <alignment horizontal="center"/>
    </xf>
    <xf numFmtId="42" fontId="0" fillId="16" borderId="21" xfId="0" applyNumberFormat="1" applyFill="1" applyBorder="1" applyAlignment="1">
      <alignment horizontal="center"/>
    </xf>
    <xf numFmtId="42" fontId="0" fillId="4" borderId="11" xfId="0" applyNumberFormat="1" applyFont="1" applyFill="1" applyBorder="1" applyAlignment="1">
      <alignment vertical="center"/>
    </xf>
    <xf numFmtId="44" fontId="0" fillId="4" borderId="11" xfId="0" applyNumberFormat="1" applyFont="1" applyFill="1" applyBorder="1" applyAlignment="1">
      <alignment vertical="center"/>
    </xf>
    <xf numFmtId="1" fontId="0" fillId="4" borderId="12" xfId="0" applyNumberFormat="1" applyFont="1" applyFill="1" applyBorder="1" applyAlignment="1">
      <alignment horizontal="center" vertical="center"/>
    </xf>
    <xf numFmtId="171" fontId="0" fillId="0" borderId="1" xfId="0" applyNumberFormat="1" applyFont="1" applyBorder="1" applyAlignment="1">
      <alignment horizontal="center" vertical="center"/>
    </xf>
    <xf numFmtId="42" fontId="0" fillId="0" borderId="1" xfId="0" applyNumberFormat="1" applyFont="1" applyBorder="1" applyAlignment="1">
      <alignment vertical="center"/>
    </xf>
    <xf numFmtId="42" fontId="0" fillId="0" borderId="1" xfId="0" applyNumberFormat="1" applyFont="1" applyBorder="1" applyAlignment="1">
      <alignment horizontal="center" vertical="center"/>
    </xf>
    <xf numFmtId="171" fontId="0" fillId="0" borderId="6" xfId="0" applyNumberFormat="1" applyFont="1" applyBorder="1" applyAlignment="1">
      <alignment horizontal="center" vertical="center"/>
    </xf>
    <xf numFmtId="42" fontId="0" fillId="0" borderId="6" xfId="0" applyNumberFormat="1" applyFont="1" applyBorder="1" applyAlignment="1">
      <alignment vertical="center"/>
    </xf>
    <xf numFmtId="42" fontId="0" fillId="0" borderId="6" xfId="0" applyNumberFormat="1" applyFont="1" applyBorder="1" applyAlignment="1">
      <alignment horizontal="center" vertical="center"/>
    </xf>
    <xf numFmtId="0" fontId="0" fillId="0" borderId="6" xfId="0" applyFont="1" applyBorder="1" applyAlignment="1">
      <alignment vertical="center"/>
    </xf>
    <xf numFmtId="42" fontId="0" fillId="0" borderId="11" xfId="0" applyNumberFormat="1" applyFont="1" applyBorder="1" applyAlignment="1">
      <alignment vertical="center"/>
    </xf>
    <xf numFmtId="171" fontId="0" fillId="0" borderId="11" xfId="0" applyNumberFormat="1" applyFont="1" applyBorder="1" applyAlignment="1">
      <alignment horizontal="center" vertical="center"/>
    </xf>
    <xf numFmtId="1" fontId="0" fillId="0" borderId="12" xfId="0" applyNumberFormat="1" applyFont="1" applyBorder="1" applyAlignment="1">
      <alignment horizontal="center" vertical="center"/>
    </xf>
    <xf numFmtId="1" fontId="0" fillId="0" borderId="13" xfId="0" applyNumberFormat="1" applyFont="1" applyBorder="1" applyAlignment="1">
      <alignment horizontal="center" vertical="center"/>
    </xf>
    <xf numFmtId="42" fontId="0" fillId="4" borderId="1" xfId="0" applyNumberFormat="1" applyFont="1" applyFill="1" applyBorder="1" applyAlignment="1">
      <alignment vertical="center"/>
    </xf>
    <xf numFmtId="171" fontId="0" fillId="4" borderId="1" xfId="0" applyNumberFormat="1" applyFont="1" applyFill="1" applyBorder="1" applyAlignment="1">
      <alignment horizontal="center" vertical="center"/>
    </xf>
    <xf numFmtId="42" fontId="0" fillId="4" borderId="1" xfId="0" applyNumberFormat="1" applyFont="1" applyFill="1" applyBorder="1" applyAlignment="1">
      <alignment horizontal="center" vertical="center"/>
    </xf>
    <xf numFmtId="1" fontId="0" fillId="4" borderId="13" xfId="0" applyNumberFormat="1" applyFont="1" applyFill="1" applyBorder="1" applyAlignment="1">
      <alignment horizontal="center" vertical="center"/>
    </xf>
    <xf numFmtId="44" fontId="0" fillId="0" borderId="20" xfId="0" applyNumberFormat="1" applyFont="1" applyBorder="1" applyAlignment="1">
      <alignment vertical="center"/>
    </xf>
    <xf numFmtId="42" fontId="0" fillId="0" borderId="11" xfId="0" applyNumberFormat="1" applyFont="1" applyBorder="1" applyAlignment="1">
      <alignment horizontal="center" vertical="center"/>
    </xf>
    <xf numFmtId="44" fontId="0" fillId="0" borderId="1" xfId="0" applyNumberFormat="1" applyFont="1" applyBorder="1" applyAlignment="1">
      <alignment vertical="center"/>
    </xf>
    <xf numFmtId="1" fontId="0" fillId="0" borderId="65" xfId="0" applyNumberFormat="1" applyFont="1" applyBorder="1" applyAlignment="1">
      <alignment horizontal="center" vertical="center"/>
    </xf>
    <xf numFmtId="42" fontId="0" fillId="0" borderId="20" xfId="0" applyNumberFormat="1" applyFont="1" applyBorder="1" applyAlignment="1">
      <alignment vertical="center"/>
    </xf>
    <xf numFmtId="171" fontId="0" fillId="0" borderId="20" xfId="0" applyNumberFormat="1" applyFont="1" applyBorder="1" applyAlignment="1">
      <alignment horizontal="center" vertical="center"/>
    </xf>
    <xf numFmtId="1" fontId="0" fillId="0" borderId="21" xfId="0" applyNumberFormat="1" applyFont="1" applyBorder="1" applyAlignment="1">
      <alignment horizontal="center" vertical="center"/>
    </xf>
    <xf numFmtId="1" fontId="0" fillId="0" borderId="13" xfId="0" quotePrefix="1" applyNumberFormat="1" applyFont="1" applyBorder="1" applyAlignment="1">
      <alignment horizontal="center" vertical="center"/>
    </xf>
    <xf numFmtId="0" fontId="9" fillId="0" borderId="1" xfId="0" applyFont="1" applyBorder="1" applyAlignment="1">
      <alignment horizontal="center" vertical="center" wrapText="1"/>
    </xf>
    <xf numFmtId="44" fontId="3" fillId="0" borderId="56" xfId="0" applyNumberFormat="1" applyFont="1" applyFill="1" applyBorder="1" applyAlignment="1">
      <alignment horizontal="center" vertical="center"/>
    </xf>
    <xf numFmtId="44" fontId="3" fillId="0" borderId="55" xfId="0" applyNumberFormat="1" applyFont="1" applyFill="1" applyBorder="1" applyAlignment="1">
      <alignment horizontal="center" vertical="center"/>
    </xf>
    <xf numFmtId="0" fontId="11" fillId="3" borderId="48" xfId="0" applyFont="1" applyFill="1" applyBorder="1" applyAlignment="1">
      <alignment horizontal="right"/>
    </xf>
    <xf numFmtId="0" fontId="0" fillId="0" borderId="55" xfId="0" applyFont="1" applyBorder="1" applyAlignment="1">
      <alignment horizontal="right"/>
    </xf>
    <xf numFmtId="0" fontId="9" fillId="0" borderId="56" xfId="0" applyFont="1" applyFill="1" applyBorder="1"/>
    <xf numFmtId="0" fontId="9" fillId="0" borderId="57" xfId="0" applyFont="1" applyFill="1" applyBorder="1" applyAlignment="1">
      <alignment horizontal="right"/>
    </xf>
    <xf numFmtId="42" fontId="9" fillId="3" borderId="3" xfId="0" applyNumberFormat="1" applyFont="1" applyFill="1" applyBorder="1"/>
    <xf numFmtId="0" fontId="0" fillId="0" borderId="53" xfId="0" applyFont="1" applyBorder="1" applyAlignment="1">
      <alignment horizontal="right"/>
    </xf>
    <xf numFmtId="0" fontId="3" fillId="2" borderId="60" xfId="0" applyFont="1" applyFill="1" applyBorder="1" applyAlignment="1">
      <alignment horizontal="center"/>
    </xf>
    <xf numFmtId="0" fontId="3" fillId="0" borderId="0" xfId="0" applyFont="1" applyAlignment="1">
      <alignment horizontal="right" vertical="center" wrapText="1"/>
    </xf>
    <xf numFmtId="44" fontId="3" fillId="12" borderId="10" xfId="0" applyNumberFormat="1" applyFont="1" applyFill="1" applyBorder="1" applyAlignment="1">
      <alignment vertical="center"/>
    </xf>
    <xf numFmtId="44" fontId="3" fillId="3" borderId="79" xfId="0" applyNumberFormat="1" applyFont="1" applyFill="1" applyBorder="1" applyAlignment="1">
      <alignment vertical="center"/>
    </xf>
    <xf numFmtId="44" fontId="3" fillId="3" borderId="72" xfId="0" applyNumberFormat="1" applyFont="1" applyFill="1" applyBorder="1" applyAlignment="1">
      <alignment vertical="center"/>
    </xf>
    <xf numFmtId="44" fontId="3" fillId="3" borderId="19" xfId="0" applyNumberFormat="1" applyFont="1" applyFill="1" applyBorder="1" applyAlignment="1">
      <alignment vertical="center"/>
    </xf>
    <xf numFmtId="0" fontId="9" fillId="16" borderId="1" xfId="0" applyFont="1" applyFill="1" applyBorder="1" applyAlignment="1">
      <alignment horizontal="left" vertical="center" wrapText="1"/>
    </xf>
    <xf numFmtId="0" fontId="0" fillId="0" borderId="54" xfId="0" applyBorder="1" applyAlignment="1">
      <alignment horizontal="center" vertical="center"/>
    </xf>
    <xf numFmtId="0" fontId="0" fillId="0" borderId="53" xfId="0" applyBorder="1" applyAlignment="1">
      <alignment horizontal="center" vertical="center"/>
    </xf>
    <xf numFmtId="0" fontId="50" fillId="0" borderId="1" xfId="0" applyFont="1" applyBorder="1" applyAlignment="1">
      <alignment horizontal="left" vertical="center"/>
    </xf>
    <xf numFmtId="0" fontId="0" fillId="0" borderId="11" xfId="0" applyFont="1" applyFill="1" applyBorder="1" applyAlignment="1">
      <alignment horizontal="right" vertical="center" wrapText="1"/>
    </xf>
    <xf numFmtId="0" fontId="3" fillId="0" borderId="64" xfId="0" applyFont="1" applyFill="1" applyBorder="1" applyAlignment="1">
      <alignment horizontal="center" vertical="center"/>
    </xf>
    <xf numFmtId="0" fontId="0" fillId="0" borderId="1" xfId="0" applyBorder="1"/>
    <xf numFmtId="0" fontId="0" fillId="0" borderId="20" xfId="0" applyBorder="1"/>
    <xf numFmtId="175" fontId="0" fillId="0" borderId="0" xfId="0" applyNumberFormat="1" applyAlignment="1">
      <alignment horizontal="center"/>
    </xf>
    <xf numFmtId="175" fontId="3" fillId="2" borderId="36" xfId="0" applyNumberFormat="1" applyFont="1" applyFill="1" applyBorder="1" applyAlignment="1">
      <alignment horizontal="center"/>
    </xf>
    <xf numFmtId="175" fontId="0" fillId="0" borderId="34" xfId="0" applyNumberFormat="1" applyBorder="1" applyAlignment="1">
      <alignment horizontal="center"/>
    </xf>
    <xf numFmtId="175" fontId="0" fillId="0" borderId="35" xfId="0" applyNumberFormat="1" applyBorder="1" applyAlignment="1">
      <alignment horizontal="center"/>
    </xf>
    <xf numFmtId="0" fontId="0" fillId="23" borderId="19" xfId="0" applyFill="1" applyBorder="1"/>
    <xf numFmtId="175" fontId="0" fillId="23" borderId="19" xfId="0" applyNumberFormat="1" applyFill="1" applyBorder="1" applyAlignment="1">
      <alignment horizontal="center"/>
    </xf>
    <xf numFmtId="0" fontId="0" fillId="23" borderId="28" xfId="0" applyFill="1" applyBorder="1"/>
    <xf numFmtId="0" fontId="41" fillId="23" borderId="48" xfId="0" applyFont="1" applyFill="1" applyBorder="1"/>
    <xf numFmtId="0" fontId="2" fillId="23" borderId="19" xfId="0" applyFont="1" applyFill="1" applyBorder="1"/>
    <xf numFmtId="175" fontId="2" fillId="23" borderId="28" xfId="0" applyNumberFormat="1" applyFont="1" applyFill="1" applyBorder="1" applyAlignment="1">
      <alignment horizontal="center"/>
    </xf>
    <xf numFmtId="175" fontId="41" fillId="23" borderId="48" xfId="0" applyNumberFormat="1" applyFont="1" applyFill="1" applyBorder="1" applyAlignment="1">
      <alignment horizontal="left"/>
    </xf>
    <xf numFmtId="0" fontId="3" fillId="0" borderId="1" xfId="0" quotePrefix="1" applyFont="1" applyBorder="1" applyAlignment="1">
      <alignment horizontal="center" vertical="center"/>
    </xf>
    <xf numFmtId="0" fontId="3" fillId="2" borderId="70" xfId="0" applyFont="1" applyFill="1" applyBorder="1" applyAlignment="1">
      <alignment vertical="center" wrapText="1"/>
    </xf>
    <xf numFmtId="0" fontId="9" fillId="25" borderId="20" xfId="0" applyFont="1" applyFill="1" applyBorder="1" applyAlignment="1">
      <alignment vertical="center" wrapText="1"/>
    </xf>
    <xf numFmtId="0" fontId="3" fillId="11" borderId="40" xfId="0" applyFont="1" applyFill="1" applyBorder="1" applyAlignment="1">
      <alignment horizontal="center" vertical="center"/>
    </xf>
    <xf numFmtId="0" fontId="3" fillId="0" borderId="1" xfId="0" applyFont="1" applyBorder="1" applyAlignment="1">
      <alignment horizontal="right" vertical="center" wrapText="1"/>
    </xf>
    <xf numFmtId="0" fontId="7" fillId="20" borderId="48" xfId="0" applyFont="1" applyFill="1" applyBorder="1"/>
    <xf numFmtId="0" fontId="3" fillId="16" borderId="1" xfId="0" quotePrefix="1" applyFont="1" applyFill="1" applyBorder="1" applyAlignment="1">
      <alignment horizontal="center" vertical="center"/>
    </xf>
    <xf numFmtId="0" fontId="3" fillId="15" borderId="1" xfId="0" applyFont="1" applyFill="1" applyBorder="1" applyAlignment="1">
      <alignment horizontal="center" vertical="center"/>
    </xf>
    <xf numFmtId="42" fontId="3" fillId="15" borderId="1" xfId="0" applyNumberFormat="1" applyFont="1" applyFill="1" applyBorder="1" applyAlignment="1">
      <alignment horizontal="center" vertical="center"/>
    </xf>
    <xf numFmtId="0" fontId="45" fillId="15" borderId="1" xfId="0" applyFont="1" applyFill="1" applyBorder="1" applyAlignment="1">
      <alignment horizontal="right" vertical="center" wrapText="1"/>
    </xf>
    <xf numFmtId="0" fontId="30" fillId="0" borderId="0" xfId="0" applyFont="1" applyFill="1" applyAlignment="1">
      <alignment horizontal="center" vertical="center" wrapText="1"/>
    </xf>
    <xf numFmtId="0" fontId="45" fillId="0" borderId="6" xfId="0" applyFont="1" applyFill="1" applyBorder="1" applyAlignment="1">
      <alignment horizontal="right" vertical="center" wrapText="1"/>
    </xf>
    <xf numFmtId="0" fontId="7" fillId="6" borderId="4" xfId="0" applyFont="1" applyFill="1" applyBorder="1" applyAlignment="1">
      <alignment horizontal="right" vertical="center" wrapText="1"/>
    </xf>
    <xf numFmtId="0" fontId="3" fillId="16" borderId="1" xfId="0" applyFont="1" applyFill="1" applyBorder="1" applyAlignment="1">
      <alignment horizontal="right" vertical="center" wrapText="1"/>
    </xf>
    <xf numFmtId="0" fontId="2" fillId="0" borderId="1" xfId="0" applyFont="1" applyBorder="1" applyAlignment="1">
      <alignment horizontal="right" vertical="center" wrapText="1"/>
    </xf>
    <xf numFmtId="0" fontId="11" fillId="0" borderId="1" xfId="0" applyFont="1" applyBorder="1" applyAlignment="1">
      <alignment horizontal="right" vertical="center" wrapText="1"/>
    </xf>
    <xf numFmtId="42" fontId="45" fillId="3" borderId="4" xfId="0" applyNumberFormat="1" applyFont="1" applyFill="1" applyBorder="1" applyAlignment="1">
      <alignment horizontal="center" vertical="center"/>
    </xf>
    <xf numFmtId="42" fontId="3" fillId="16" borderId="1" xfId="0" applyNumberFormat="1" applyFont="1" applyFill="1" applyBorder="1" applyAlignment="1">
      <alignment horizontal="right" vertical="center"/>
    </xf>
    <xf numFmtId="0" fontId="3" fillId="0" borderId="17" xfId="0" applyFont="1" applyBorder="1" applyAlignment="1">
      <alignment horizontal="center" vertical="center"/>
    </xf>
    <xf numFmtId="42" fontId="3" fillId="0" borderId="17" xfId="0" applyNumberFormat="1" applyFont="1" applyBorder="1" applyAlignment="1">
      <alignment horizontal="center" vertical="center"/>
    </xf>
    <xf numFmtId="44" fontId="15" fillId="0" borderId="0" xfId="0" applyNumberFormat="1" applyFont="1" applyFill="1" applyBorder="1" applyAlignment="1">
      <alignment horizontal="center" vertical="center" wrapText="1"/>
    </xf>
    <xf numFmtId="44" fontId="3" fillId="0" borderId="0" xfId="0" applyNumberFormat="1" applyFont="1" applyFill="1" applyBorder="1" applyAlignment="1">
      <alignment horizontal="center" vertical="center"/>
    </xf>
    <xf numFmtId="0" fontId="3" fillId="12" borderId="8" xfId="0" applyFont="1" applyFill="1" applyBorder="1" applyAlignment="1">
      <alignment horizontal="center" vertical="center"/>
    </xf>
    <xf numFmtId="44" fontId="0" fillId="0" borderId="0" xfId="0" applyNumberFormat="1" applyBorder="1" applyAlignment="1">
      <alignment vertical="center"/>
    </xf>
    <xf numFmtId="42" fontId="3" fillId="16" borderId="8" xfId="0" applyNumberFormat="1" applyFont="1" applyFill="1" applyBorder="1" applyAlignment="1">
      <alignment horizontal="center" vertical="center"/>
    </xf>
    <xf numFmtId="42" fontId="3" fillId="16" borderId="9" xfId="0" applyNumberFormat="1" applyFont="1" applyFill="1" applyBorder="1" applyAlignment="1">
      <alignment horizontal="center" vertical="center"/>
    </xf>
    <xf numFmtId="42" fontId="3" fillId="12" borderId="9" xfId="0" applyNumberFormat="1" applyFont="1" applyFill="1" applyBorder="1" applyAlignment="1">
      <alignment horizontal="center" vertical="center"/>
    </xf>
    <xf numFmtId="42" fontId="3" fillId="16" borderId="26" xfId="0" applyNumberFormat="1" applyFont="1" applyFill="1" applyBorder="1" applyAlignment="1">
      <alignment horizontal="center" vertical="center"/>
    </xf>
    <xf numFmtId="0" fontId="2" fillId="0" borderId="0" xfId="0" applyFont="1" applyFill="1" applyBorder="1" applyAlignment="1">
      <alignment vertical="top" wrapText="1"/>
    </xf>
    <xf numFmtId="0" fontId="3" fillId="2" borderId="61" xfId="0" applyFont="1" applyFill="1" applyBorder="1" applyAlignment="1">
      <alignment vertical="center" wrapText="1"/>
    </xf>
    <xf numFmtId="0" fontId="0" fillId="0" borderId="20" xfId="0" applyBorder="1" applyAlignment="1">
      <alignment vertical="center" wrapText="1"/>
    </xf>
    <xf numFmtId="44" fontId="3" fillId="2" borderId="66" xfId="0" applyNumberFormat="1" applyFont="1" applyFill="1" applyBorder="1" applyAlignment="1">
      <alignment vertical="center"/>
    </xf>
    <xf numFmtId="10" fontId="0" fillId="0" borderId="38" xfId="0" applyNumberFormat="1" applyBorder="1" applyAlignment="1">
      <alignment horizontal="center" vertical="center"/>
    </xf>
    <xf numFmtId="0" fontId="3" fillId="12" borderId="26" xfId="0" applyFont="1" applyFill="1" applyBorder="1" applyAlignment="1">
      <alignment horizontal="center" vertical="center"/>
    </xf>
    <xf numFmtId="0" fontId="15" fillId="0" borderId="59" xfId="0" applyFont="1" applyBorder="1" applyAlignment="1">
      <alignment horizontal="left" vertical="center" indent="1"/>
    </xf>
    <xf numFmtId="0" fontId="15" fillId="2" borderId="36" xfId="0" applyFont="1" applyFill="1" applyBorder="1" applyAlignment="1">
      <alignment horizontal="left" vertical="center" wrapText="1" indent="1"/>
    </xf>
    <xf numFmtId="44" fontId="0" fillId="0" borderId="25" xfId="0" applyNumberFormat="1" applyBorder="1" applyAlignment="1">
      <alignment horizontal="center" vertical="center"/>
    </xf>
    <xf numFmtId="44" fontId="0" fillId="0" borderId="63" xfId="0" applyNumberFormat="1" applyBorder="1" applyAlignment="1">
      <alignment horizontal="center" vertical="center"/>
    </xf>
    <xf numFmtId="0" fontId="8" fillId="16" borderId="17" xfId="0" applyFont="1" applyFill="1" applyBorder="1" applyAlignment="1">
      <alignment vertical="center" wrapText="1"/>
    </xf>
    <xf numFmtId="0" fontId="3" fillId="16" borderId="34" xfId="0" applyFont="1" applyFill="1" applyBorder="1" applyAlignment="1">
      <alignment horizontal="center" vertical="center"/>
    </xf>
    <xf numFmtId="0" fontId="0" fillId="16" borderId="1" xfId="0" applyFont="1" applyFill="1" applyBorder="1" applyAlignment="1">
      <alignment horizontal="left" vertical="center"/>
    </xf>
    <xf numFmtId="0" fontId="3" fillId="16" borderId="37" xfId="0" applyFont="1" applyFill="1" applyBorder="1" applyAlignment="1">
      <alignment horizontal="center" vertical="center"/>
    </xf>
    <xf numFmtId="0" fontId="3" fillId="16" borderId="64" xfId="0" applyFont="1" applyFill="1" applyBorder="1" applyAlignment="1">
      <alignment horizontal="center" vertical="center"/>
    </xf>
    <xf numFmtId="0" fontId="0" fillId="16" borderId="6" xfId="0" applyFont="1" applyFill="1" applyBorder="1" applyAlignment="1">
      <alignment horizontal="left" vertical="center"/>
    </xf>
    <xf numFmtId="0" fontId="3" fillId="16" borderId="42" xfId="0" applyFont="1" applyFill="1" applyBorder="1" applyAlignment="1">
      <alignment horizontal="center" vertical="center"/>
    </xf>
    <xf numFmtId="0" fontId="3" fillId="2" borderId="5" xfId="0" applyFont="1" applyFill="1" applyBorder="1" applyAlignment="1">
      <alignment vertical="center"/>
    </xf>
    <xf numFmtId="0" fontId="0" fillId="0" borderId="0" xfId="0" applyAlignment="1">
      <alignment vertical="center"/>
    </xf>
    <xf numFmtId="0" fontId="0" fillId="0" borderId="6" xfId="0" quotePrefix="1" applyFont="1" applyFill="1" applyBorder="1" applyAlignment="1">
      <alignment vertical="center" wrapText="1"/>
    </xf>
    <xf numFmtId="0" fontId="3" fillId="3" borderId="4" xfId="0" applyFont="1" applyFill="1" applyBorder="1" applyAlignment="1">
      <alignment horizontal="right" vertical="center" wrapText="1"/>
    </xf>
    <xf numFmtId="0" fontId="3" fillId="15" borderId="43" xfId="0" applyFont="1" applyFill="1" applyBorder="1" applyAlignment="1">
      <alignment horizontal="center" vertical="center"/>
    </xf>
    <xf numFmtId="0" fontId="3" fillId="0" borderId="59" xfId="0" applyFont="1" applyBorder="1" applyAlignment="1">
      <alignment horizontal="center" vertical="center"/>
    </xf>
    <xf numFmtId="0" fontId="0" fillId="0" borderId="25" xfId="0" applyFont="1" applyBorder="1" applyAlignment="1">
      <alignment vertical="center" wrapText="1"/>
    </xf>
    <xf numFmtId="10" fontId="3" fillId="3" borderId="3" xfId="0" applyNumberFormat="1" applyFont="1" applyFill="1" applyBorder="1" applyAlignment="1">
      <alignment horizontal="center" vertical="center"/>
    </xf>
    <xf numFmtId="9" fontId="3" fillId="12" borderId="58" xfId="0" applyNumberFormat="1" applyFont="1" applyFill="1" applyBorder="1" applyAlignment="1">
      <alignment horizontal="center" vertical="center"/>
    </xf>
    <xf numFmtId="167" fontId="3" fillId="2" borderId="49" xfId="0" applyNumberFormat="1" applyFont="1" applyFill="1" applyBorder="1" applyAlignment="1">
      <alignment horizontal="center" vertical="center"/>
    </xf>
    <xf numFmtId="0" fontId="0" fillId="0" borderId="1" xfId="0" applyFont="1" applyFill="1" applyBorder="1" applyAlignment="1">
      <alignment horizontal="right" vertical="center"/>
    </xf>
    <xf numFmtId="0" fontId="3" fillId="0" borderId="37" xfId="0" applyFont="1" applyFill="1" applyBorder="1" applyAlignment="1">
      <alignment horizontal="center" vertical="center"/>
    </xf>
    <xf numFmtId="42" fontId="3" fillId="16" borderId="6" xfId="0" applyNumberFormat="1" applyFont="1" applyFill="1" applyBorder="1" applyAlignment="1">
      <alignment horizontal="center" vertical="center"/>
    </xf>
    <xf numFmtId="0" fontId="11" fillId="0" borderId="1" xfId="0" applyFont="1" applyFill="1" applyBorder="1" applyAlignment="1">
      <alignment horizontal="right" vertical="center"/>
    </xf>
    <xf numFmtId="0" fontId="2" fillId="0" borderId="1" xfId="0" applyFont="1" applyFill="1" applyBorder="1" applyAlignment="1">
      <alignment horizontal="left" vertical="center"/>
    </xf>
    <xf numFmtId="42" fontId="3" fillId="0" borderId="1" xfId="0" applyNumberFormat="1" applyFont="1" applyBorder="1" applyAlignment="1">
      <alignment horizontal="center" vertical="center" wrapText="1"/>
    </xf>
    <xf numFmtId="0" fontId="38" fillId="7" borderId="1" xfId="0" applyFont="1" applyFill="1" applyBorder="1" applyAlignment="1">
      <alignment horizontal="right" vertical="center"/>
    </xf>
    <xf numFmtId="0" fontId="3" fillId="2" borderId="19" xfId="0" applyFont="1" applyFill="1" applyBorder="1" applyAlignment="1">
      <alignment horizontal="center" vertical="center"/>
    </xf>
    <xf numFmtId="0" fontId="15" fillId="2" borderId="36" xfId="0" applyFont="1" applyFill="1" applyBorder="1" applyAlignment="1">
      <alignment horizontal="center" vertical="center"/>
    </xf>
    <xf numFmtId="0" fontId="9" fillId="0" borderId="20" xfId="0" applyFont="1" applyBorder="1" applyAlignment="1">
      <alignment vertical="center" wrapText="1"/>
    </xf>
    <xf numFmtId="0" fontId="9" fillId="0" borderId="1" xfId="0" applyFont="1" applyBorder="1" applyAlignment="1">
      <alignment vertical="center" wrapText="1"/>
    </xf>
    <xf numFmtId="0" fontId="0" fillId="0" borderId="0" xfId="0" applyAlignment="1">
      <alignment vertical="center"/>
    </xf>
    <xf numFmtId="0" fontId="3" fillId="2" borderId="22" xfId="0" applyFont="1" applyFill="1" applyBorder="1" applyAlignment="1">
      <alignment horizontal="center" vertical="center"/>
    </xf>
    <xf numFmtId="44" fontId="3" fillId="16" borderId="3" xfId="0" applyNumberFormat="1" applyFont="1" applyFill="1" applyBorder="1" applyAlignment="1">
      <alignment vertical="center"/>
    </xf>
    <xf numFmtId="0" fontId="0" fillId="0" borderId="20" xfId="0" applyBorder="1" applyAlignment="1">
      <alignment horizontal="center" vertical="center"/>
    </xf>
    <xf numFmtId="44" fontId="0" fillId="0" borderId="20" xfId="0" applyNumberFormat="1" applyBorder="1" applyAlignment="1">
      <alignment horizontal="center" vertical="center"/>
    </xf>
    <xf numFmtId="44" fontId="0" fillId="16" borderId="9" xfId="0" applyNumberFormat="1" applyFill="1" applyBorder="1" applyAlignment="1">
      <alignment horizontal="center" vertical="center"/>
    </xf>
    <xf numFmtId="44" fontId="0" fillId="16" borderId="10" xfId="0" applyNumberFormat="1" applyFill="1" applyBorder="1" applyAlignment="1">
      <alignment horizontal="center" vertical="center"/>
    </xf>
    <xf numFmtId="0" fontId="0" fillId="0" borderId="14" xfId="0" applyBorder="1" applyAlignment="1">
      <alignment horizontal="center" vertical="center"/>
    </xf>
    <xf numFmtId="10" fontId="0" fillId="0" borderId="7" xfId="0" applyNumberFormat="1" applyBorder="1" applyAlignment="1">
      <alignment horizontal="center" vertical="center"/>
    </xf>
    <xf numFmtId="10" fontId="0" fillId="0" borderId="68" xfId="0" applyNumberFormat="1" applyBorder="1" applyAlignment="1">
      <alignment horizontal="center" vertical="center"/>
    </xf>
    <xf numFmtId="44" fontId="0" fillId="16" borderId="15" xfId="0" applyNumberFormat="1" applyFill="1" applyBorder="1" applyAlignment="1">
      <alignment horizontal="center" vertical="center"/>
    </xf>
    <xf numFmtId="10" fontId="0" fillId="0" borderId="16" xfId="0" applyNumberFormat="1" applyBorder="1" applyAlignment="1">
      <alignment horizontal="center" vertical="center"/>
    </xf>
    <xf numFmtId="44" fontId="0" fillId="0" borderId="17" xfId="0" applyNumberFormat="1" applyBorder="1" applyAlignment="1">
      <alignment horizontal="center" vertical="center"/>
    </xf>
    <xf numFmtId="0" fontId="3" fillId="3" borderId="12" xfId="0" applyFont="1" applyFill="1" applyBorder="1" applyAlignment="1">
      <alignment horizontal="right" vertical="center" wrapText="1"/>
    </xf>
    <xf numFmtId="0" fontId="53" fillId="0" borderId="0" xfId="2" applyFont="1" applyAlignment="1">
      <alignment vertical="center"/>
    </xf>
    <xf numFmtId="0" fontId="0" fillId="0" borderId="55" xfId="0" applyBorder="1" applyAlignment="1">
      <alignment horizontal="center" vertical="center"/>
    </xf>
    <xf numFmtId="44" fontId="0" fillId="16" borderId="15" xfId="0" applyNumberFormat="1" applyFill="1" applyBorder="1" applyAlignment="1">
      <alignment vertical="center"/>
    </xf>
    <xf numFmtId="44" fontId="0" fillId="0" borderId="18" xfId="0" applyNumberFormat="1" applyBorder="1" applyAlignment="1">
      <alignment horizontal="center" vertical="center"/>
    </xf>
    <xf numFmtId="44" fontId="0" fillId="0" borderId="13" xfId="0" applyNumberFormat="1" applyBorder="1" applyAlignment="1">
      <alignment horizontal="center" vertical="center"/>
    </xf>
    <xf numFmtId="0" fontId="0" fillId="0" borderId="0" xfId="0" applyFill="1" applyBorder="1" applyAlignment="1">
      <alignment horizontal="center" vertical="center"/>
    </xf>
    <xf numFmtId="0" fontId="3" fillId="2" borderId="0" xfId="0" applyFont="1" applyFill="1" applyBorder="1" applyAlignment="1">
      <alignment vertical="center" wrapText="1"/>
    </xf>
    <xf numFmtId="0" fontId="3" fillId="0" borderId="3" xfId="0" applyFont="1" applyBorder="1" applyAlignment="1">
      <alignment horizontal="center" vertical="center"/>
    </xf>
    <xf numFmtId="0" fontId="0" fillId="0" borderId="0" xfId="0" quotePrefix="1" applyFill="1" applyAlignment="1">
      <alignment vertical="center"/>
    </xf>
    <xf numFmtId="0" fontId="3" fillId="0" borderId="0" xfId="0" applyFont="1" applyFill="1" applyBorder="1" applyAlignment="1">
      <alignment horizontal="right" vertical="center"/>
    </xf>
    <xf numFmtId="44" fontId="14" fillId="0" borderId="6" xfId="0" applyNumberFormat="1" applyFont="1" applyBorder="1" applyAlignment="1">
      <alignment vertical="center" wrapText="1"/>
    </xf>
    <xf numFmtId="44" fontId="3" fillId="3" borderId="19" xfId="0" applyNumberFormat="1" applyFont="1" applyFill="1" applyBorder="1" applyAlignment="1">
      <alignment horizontal="center" vertical="center"/>
    </xf>
    <xf numFmtId="44" fontId="3" fillId="3" borderId="28" xfId="0" applyNumberFormat="1" applyFont="1" applyFill="1" applyBorder="1" applyAlignment="1">
      <alignment horizontal="center" vertical="center"/>
    </xf>
    <xf numFmtId="0" fontId="2" fillId="0" borderId="0" xfId="0" applyFont="1" applyBorder="1" applyAlignment="1">
      <alignment horizontal="left" vertical="center"/>
    </xf>
    <xf numFmtId="42" fontId="0" fillId="0" borderId="0" xfId="0" applyNumberFormat="1" applyAlignment="1">
      <alignment vertical="center"/>
    </xf>
    <xf numFmtId="0" fontId="0" fillId="0" borderId="68" xfId="0" quotePrefix="1" applyBorder="1" applyAlignment="1">
      <alignment vertical="top" wrapText="1"/>
    </xf>
    <xf numFmtId="44" fontId="0" fillId="0" borderId="38" xfId="0" applyNumberFormat="1" applyBorder="1" applyAlignment="1">
      <alignment vertical="center"/>
    </xf>
    <xf numFmtId="44" fontId="0" fillId="0" borderId="39" xfId="0" applyNumberFormat="1" applyBorder="1" applyAlignment="1">
      <alignment vertical="center"/>
    </xf>
    <xf numFmtId="0" fontId="3" fillId="12" borderId="56" xfId="0" applyFont="1" applyFill="1" applyBorder="1" applyAlignment="1">
      <alignment horizontal="center" vertical="center"/>
    </xf>
    <xf numFmtId="0" fontId="3" fillId="12" borderId="57" xfId="0" applyFont="1" applyFill="1" applyBorder="1" applyAlignment="1">
      <alignment horizontal="center" vertical="center"/>
    </xf>
    <xf numFmtId="167" fontId="3" fillId="12" borderId="69" xfId="0" applyNumberFormat="1" applyFont="1" applyFill="1" applyBorder="1" applyAlignment="1">
      <alignment horizontal="center" vertical="center"/>
    </xf>
    <xf numFmtId="0" fontId="0" fillId="0" borderId="15" xfId="0" applyFont="1" applyFill="1" applyBorder="1" applyAlignment="1">
      <alignment vertical="center"/>
    </xf>
    <xf numFmtId="0" fontId="0" fillId="0" borderId="26" xfId="0" applyBorder="1" applyAlignment="1">
      <alignment horizontal="left" vertical="center"/>
    </xf>
    <xf numFmtId="0" fontId="0" fillId="0" borderId="15" xfId="0" applyBorder="1" applyAlignment="1">
      <alignment horizontal="left" vertical="center"/>
    </xf>
    <xf numFmtId="0" fontId="0" fillId="0" borderId="26" xfId="0" applyFill="1" applyBorder="1" applyAlignment="1">
      <alignment horizontal="left" vertical="center"/>
    </xf>
    <xf numFmtId="1" fontId="3" fillId="12" borderId="71" xfId="0" applyNumberFormat="1" applyFont="1" applyFill="1" applyBorder="1" applyAlignment="1">
      <alignment horizontal="center" vertical="center"/>
    </xf>
    <xf numFmtId="42" fontId="3" fillId="12" borderId="47" xfId="0" applyNumberFormat="1" applyFont="1" applyFill="1" applyBorder="1" applyAlignment="1">
      <alignment horizontal="center" vertical="center"/>
    </xf>
    <xf numFmtId="0" fontId="56" fillId="23" borderId="0" xfId="0" applyFont="1" applyFill="1" applyAlignment="1">
      <alignment horizontal="center" vertical="center"/>
    </xf>
    <xf numFmtId="0" fontId="57" fillId="23" borderId="0" xfId="0" applyFont="1" applyFill="1" applyAlignment="1">
      <alignment vertical="center"/>
    </xf>
    <xf numFmtId="44" fontId="56" fillId="23" borderId="0" xfId="0" applyNumberFormat="1" applyFont="1" applyFill="1" applyAlignment="1">
      <alignment vertical="center"/>
    </xf>
    <xf numFmtId="0" fontId="56" fillId="23" borderId="0" xfId="0" applyFont="1" applyFill="1" applyAlignment="1">
      <alignment vertical="center"/>
    </xf>
    <xf numFmtId="0" fontId="3" fillId="12" borderId="46" xfId="0" applyFont="1" applyFill="1" applyBorder="1" applyAlignment="1">
      <alignment horizontal="center" vertical="center"/>
    </xf>
    <xf numFmtId="0" fontId="0" fillId="0" borderId="37" xfId="0" applyFill="1" applyBorder="1" applyAlignment="1">
      <alignment vertical="center" wrapText="1"/>
    </xf>
    <xf numFmtId="10" fontId="3" fillId="12" borderId="9" xfId="0" applyNumberFormat="1" applyFont="1" applyFill="1" applyBorder="1" applyAlignment="1">
      <alignment horizontal="center" vertical="center"/>
    </xf>
    <xf numFmtId="0" fontId="0" fillId="0" borderId="42" xfId="0" applyFill="1" applyBorder="1" applyAlignment="1">
      <alignment vertical="center" wrapText="1"/>
    </xf>
    <xf numFmtId="10" fontId="3" fillId="12" borderId="10" xfId="0" applyNumberFormat="1" applyFont="1" applyFill="1" applyBorder="1" applyAlignment="1">
      <alignment horizontal="center" vertical="center"/>
    </xf>
    <xf numFmtId="0" fontId="0" fillId="0" borderId="41" xfId="0" applyFill="1" applyBorder="1" applyAlignment="1">
      <alignment vertical="center" wrapText="1"/>
    </xf>
    <xf numFmtId="0" fontId="63" fillId="0" borderId="0" xfId="0" applyFont="1" applyAlignment="1">
      <alignment horizontal="left" vertical="center"/>
    </xf>
    <xf numFmtId="44" fontId="49" fillId="18" borderId="0" xfId="0" applyNumberFormat="1" applyFont="1" applyFill="1" applyAlignment="1">
      <alignment vertical="center"/>
    </xf>
    <xf numFmtId="0" fontId="3" fillId="0" borderId="0" xfId="0" applyFont="1" applyAlignment="1">
      <alignment horizontal="right" vertical="center"/>
    </xf>
    <xf numFmtId="44" fontId="3" fillId="2" borderId="22" xfId="0" applyNumberFormat="1" applyFont="1" applyFill="1" applyBorder="1" applyAlignment="1">
      <alignment horizontal="center" vertical="center"/>
    </xf>
    <xf numFmtId="0" fontId="2" fillId="0" borderId="0" xfId="0" applyFont="1" applyFill="1" applyBorder="1" applyAlignment="1">
      <alignment horizontal="left" vertical="center" wrapText="1"/>
    </xf>
    <xf numFmtId="0" fontId="0" fillId="0" borderId="45" xfId="0" applyFont="1" applyFill="1" applyBorder="1" applyAlignment="1">
      <alignment horizontal="left" vertical="center" wrapText="1"/>
    </xf>
    <xf numFmtId="0" fontId="0" fillId="0" borderId="47" xfId="0" applyFont="1" applyFill="1" applyBorder="1" applyAlignment="1">
      <alignment horizontal="left" vertical="center" wrapText="1"/>
    </xf>
    <xf numFmtId="0" fontId="0" fillId="0" borderId="8" xfId="0" applyFill="1" applyBorder="1" applyAlignment="1">
      <alignment horizontal="center" vertical="center"/>
    </xf>
    <xf numFmtId="0" fontId="0" fillId="0" borderId="3" xfId="0" applyFont="1" applyFill="1" applyBorder="1" applyAlignment="1">
      <alignment horizontal="center" vertical="center"/>
    </xf>
    <xf numFmtId="0" fontId="0" fillId="0" borderId="24" xfId="0" applyBorder="1" applyAlignment="1">
      <alignment horizontal="center" vertical="center"/>
    </xf>
    <xf numFmtId="0" fontId="0" fillId="0" borderId="71" xfId="0" quotePrefix="1" applyBorder="1" applyAlignment="1">
      <alignment vertical="top" wrapText="1"/>
    </xf>
    <xf numFmtId="0" fontId="0" fillId="0" borderId="46" xfId="0" quotePrefix="1" applyBorder="1" applyAlignment="1">
      <alignment vertical="top" wrapText="1"/>
    </xf>
    <xf numFmtId="44" fontId="3" fillId="12" borderId="46" xfId="0" applyNumberFormat="1" applyFont="1" applyFill="1" applyBorder="1" applyAlignment="1">
      <alignment vertical="center"/>
    </xf>
    <xf numFmtId="44" fontId="3" fillId="12" borderId="47" xfId="0" applyNumberFormat="1" applyFont="1" applyFill="1" applyBorder="1" applyAlignment="1">
      <alignment vertical="center"/>
    </xf>
    <xf numFmtId="44" fontId="3" fillId="12" borderId="15" xfId="0" applyNumberFormat="1" applyFont="1" applyFill="1" applyBorder="1" applyAlignment="1">
      <alignment vertical="center"/>
    </xf>
    <xf numFmtId="44" fontId="0" fillId="0" borderId="45" xfId="0" applyNumberFormat="1" applyBorder="1" applyAlignment="1">
      <alignment vertical="center"/>
    </xf>
    <xf numFmtId="44" fontId="0" fillId="0" borderId="71" xfId="0" applyNumberFormat="1" applyBorder="1" applyAlignment="1">
      <alignment vertical="center"/>
    </xf>
    <xf numFmtId="44" fontId="0" fillId="0" borderId="46" xfId="0" applyNumberFormat="1" applyBorder="1" applyAlignment="1">
      <alignment vertical="center"/>
    </xf>
    <xf numFmtId="44" fontId="0" fillId="0" borderId="47" xfId="0" applyNumberFormat="1" applyBorder="1" applyAlignment="1">
      <alignment vertical="center"/>
    </xf>
    <xf numFmtId="0" fontId="0" fillId="0" borderId="8" xfId="0" applyFont="1" applyBorder="1" applyAlignment="1">
      <alignment horizontal="center" vertical="center"/>
    </xf>
    <xf numFmtId="0" fontId="41" fillId="0" borderId="0" xfId="0" applyFont="1"/>
    <xf numFmtId="44" fontId="3" fillId="12" borderId="45" xfId="0" applyNumberFormat="1" applyFont="1" applyFill="1" applyBorder="1" applyAlignment="1">
      <alignment vertical="center"/>
    </xf>
    <xf numFmtId="0" fontId="3" fillId="2" borderId="48" xfId="0" applyFont="1" applyFill="1" applyBorder="1" applyAlignment="1">
      <alignment vertical="center"/>
    </xf>
    <xf numFmtId="42" fontId="3" fillId="3" borderId="24" xfId="0" applyNumberFormat="1" applyFont="1" applyFill="1" applyBorder="1" applyAlignment="1">
      <alignment horizontal="center" vertical="center"/>
    </xf>
    <xf numFmtId="41" fontId="3" fillId="3" borderId="3" xfId="0" applyNumberFormat="1" applyFont="1" applyFill="1" applyBorder="1" applyAlignment="1">
      <alignment horizontal="center" vertical="center"/>
    </xf>
    <xf numFmtId="0" fontId="3" fillId="24" borderId="4" xfId="0" applyFont="1" applyFill="1" applyBorder="1" applyAlignment="1">
      <alignment horizontal="right" vertical="center"/>
    </xf>
    <xf numFmtId="167" fontId="3" fillId="16" borderId="4" xfId="0" applyNumberFormat="1" applyFont="1" applyFill="1" applyBorder="1" applyAlignment="1">
      <alignment horizontal="center" vertical="center"/>
    </xf>
    <xf numFmtId="0" fontId="11" fillId="2" borderId="3" xfId="0" applyFont="1" applyFill="1" applyBorder="1" applyAlignment="1">
      <alignment horizontal="left" vertical="center"/>
    </xf>
    <xf numFmtId="41" fontId="0" fillId="16" borderId="8" xfId="0" applyNumberFormat="1" applyFill="1" applyBorder="1" applyAlignment="1">
      <alignment horizontal="center" vertical="center"/>
    </xf>
    <xf numFmtId="41" fontId="0" fillId="16" borderId="9" xfId="0" applyNumberFormat="1" applyFill="1" applyBorder="1" applyAlignment="1">
      <alignment horizontal="center" vertical="center"/>
    </xf>
    <xf numFmtId="41" fontId="0" fillId="16" borderId="26" xfId="0" applyNumberFormat="1" applyFill="1" applyBorder="1" applyAlignment="1">
      <alignment horizontal="center" vertical="center"/>
    </xf>
    <xf numFmtId="0" fontId="41" fillId="23" borderId="1" xfId="0" applyFont="1" applyFill="1" applyBorder="1" applyAlignment="1">
      <alignment vertical="center" wrapText="1"/>
    </xf>
    <xf numFmtId="0" fontId="7" fillId="6" borderId="1" xfId="0" applyFont="1" applyFill="1" applyBorder="1" applyAlignment="1">
      <alignment vertical="center" wrapText="1"/>
    </xf>
    <xf numFmtId="0" fontId="38" fillId="0" borderId="1" xfId="0" applyFont="1" applyFill="1" applyBorder="1" applyAlignment="1">
      <alignment horizontal="right" vertical="center" wrapText="1"/>
    </xf>
    <xf numFmtId="0" fontId="8" fillId="16" borderId="1" xfId="0" applyFont="1" applyFill="1" applyBorder="1" applyAlignment="1">
      <alignment vertical="center" wrapText="1"/>
    </xf>
    <xf numFmtId="0" fontId="6" fillId="0" borderId="1" xfId="0" applyFont="1" applyFill="1" applyBorder="1" applyAlignment="1">
      <alignment vertical="center" wrapText="1"/>
    </xf>
    <xf numFmtId="0" fontId="28" fillId="0" borderId="1" xfId="0" applyFont="1" applyBorder="1" applyAlignment="1">
      <alignment vertical="center" wrapText="1"/>
    </xf>
    <xf numFmtId="0" fontId="6" fillId="0" borderId="1" xfId="0" quotePrefix="1" applyFont="1" applyFill="1" applyBorder="1" applyAlignment="1">
      <alignment vertical="center" wrapText="1"/>
    </xf>
    <xf numFmtId="0" fontId="9" fillId="0" borderId="1" xfId="0" quotePrefix="1" applyFont="1" applyBorder="1" applyAlignment="1">
      <alignment vertical="center" wrapText="1"/>
    </xf>
    <xf numFmtId="0" fontId="26" fillId="0" borderId="1" xfId="0" applyFont="1" applyFill="1" applyBorder="1" applyAlignment="1">
      <alignment vertical="center" wrapText="1"/>
    </xf>
    <xf numFmtId="0" fontId="3" fillId="6" borderId="34" xfId="0" applyFont="1" applyFill="1" applyBorder="1" applyAlignment="1">
      <alignment horizontal="center" vertical="center"/>
    </xf>
    <xf numFmtId="0" fontId="3" fillId="15" borderId="34" xfId="0" applyFont="1" applyFill="1" applyBorder="1" applyAlignment="1">
      <alignment horizontal="center" vertical="center"/>
    </xf>
    <xf numFmtId="0" fontId="2" fillId="0" borderId="34" xfId="0" applyFont="1" applyBorder="1" applyAlignment="1">
      <alignment horizontal="center" vertical="center"/>
    </xf>
    <xf numFmtId="0" fontId="17" fillId="23" borderId="34" xfId="0" applyFont="1" applyFill="1" applyBorder="1" applyAlignment="1">
      <alignment horizontal="center" vertical="center"/>
    </xf>
    <xf numFmtId="0" fontId="0" fillId="0" borderId="20" xfId="0" applyFont="1" applyBorder="1" applyAlignment="1">
      <alignment horizontal="right" vertical="center" wrapText="1"/>
    </xf>
    <xf numFmtId="0" fontId="3" fillId="0" borderId="20" xfId="0" applyFont="1" applyBorder="1" applyAlignment="1">
      <alignment horizontal="center" vertical="center"/>
    </xf>
    <xf numFmtId="42" fontId="3" fillId="0" borderId="20" xfId="0" applyNumberFormat="1" applyFont="1" applyBorder="1" applyAlignment="1">
      <alignment horizontal="center" vertical="center"/>
    </xf>
    <xf numFmtId="0" fontId="3" fillId="6" borderId="37" xfId="0" applyFont="1" applyFill="1" applyBorder="1" applyAlignment="1">
      <alignment horizontal="center" vertical="center"/>
    </xf>
    <xf numFmtId="0" fontId="38" fillId="0" borderId="37" xfId="0" quotePrefix="1" applyFont="1" applyBorder="1" applyAlignment="1">
      <alignment horizontal="center" vertical="center"/>
    </xf>
    <xf numFmtId="42" fontId="3" fillId="0" borderId="37" xfId="0" applyNumberFormat="1" applyFont="1" applyBorder="1" applyAlignment="1">
      <alignment horizontal="center" vertical="center"/>
    </xf>
    <xf numFmtId="0" fontId="2" fillId="0" borderId="37" xfId="0" applyFont="1" applyBorder="1" applyAlignment="1">
      <alignment horizontal="center" vertical="center"/>
    </xf>
    <xf numFmtId="0" fontId="17" fillId="23" borderId="37" xfId="0" applyFont="1" applyFill="1" applyBorder="1" applyAlignment="1">
      <alignment horizontal="center" vertical="center"/>
    </xf>
    <xf numFmtId="0" fontId="11" fillId="0" borderId="37" xfId="0" applyFont="1" applyBorder="1" applyAlignment="1">
      <alignment horizontal="left" vertical="center" wrapText="1"/>
    </xf>
    <xf numFmtId="42" fontId="11" fillId="0" borderId="17" xfId="0" applyNumberFormat="1" applyFont="1" applyBorder="1" applyAlignment="1">
      <alignment horizontal="center" vertical="center" wrapText="1"/>
    </xf>
    <xf numFmtId="42" fontId="3" fillId="6" borderId="34" xfId="0" applyNumberFormat="1" applyFont="1" applyFill="1" applyBorder="1" applyAlignment="1">
      <alignment horizontal="center" vertical="center"/>
    </xf>
    <xf numFmtId="42" fontId="3" fillId="16" borderId="34" xfId="0" applyNumberFormat="1" applyFont="1" applyFill="1" applyBorder="1" applyAlignment="1">
      <alignment horizontal="center" vertical="center"/>
    </xf>
    <xf numFmtId="42" fontId="3" fillId="15" borderId="34" xfId="0" applyNumberFormat="1" applyFont="1" applyFill="1" applyBorder="1" applyAlignment="1">
      <alignment horizontal="center" vertical="center"/>
    </xf>
    <xf numFmtId="42" fontId="37" fillId="0" borderId="13" xfId="0" applyNumberFormat="1" applyFont="1" applyFill="1" applyBorder="1" applyAlignment="1">
      <alignment horizontal="center" vertical="center"/>
    </xf>
    <xf numFmtId="42" fontId="3" fillId="0" borderId="34" xfId="0" applyNumberFormat="1" applyFont="1" applyBorder="1" applyAlignment="1">
      <alignment horizontal="center" vertical="center"/>
    </xf>
    <xf numFmtId="42" fontId="37" fillId="6" borderId="13" xfId="0" applyNumberFormat="1" applyFont="1" applyFill="1" applyBorder="1" applyAlignment="1">
      <alignment horizontal="center" vertical="center"/>
    </xf>
    <xf numFmtId="42" fontId="3" fillId="12" borderId="34" xfId="0" applyNumberFormat="1" applyFont="1" applyFill="1" applyBorder="1" applyAlignment="1">
      <alignment horizontal="center" vertical="center"/>
    </xf>
    <xf numFmtId="42" fontId="3" fillId="0" borderId="13" xfId="0" applyNumberFormat="1" applyFont="1" applyBorder="1" applyAlignment="1">
      <alignment horizontal="center" vertical="center"/>
    </xf>
    <xf numFmtId="42" fontId="3" fillId="15" borderId="13" xfId="0" applyNumberFormat="1" applyFont="1" applyFill="1" applyBorder="1" applyAlignment="1">
      <alignment horizontal="center" vertical="center"/>
    </xf>
    <xf numFmtId="42" fontId="3" fillId="16" borderId="13" xfId="0" applyNumberFormat="1" applyFont="1" applyFill="1" applyBorder="1" applyAlignment="1">
      <alignment horizontal="center" vertical="center"/>
    </xf>
    <xf numFmtId="42" fontId="11" fillId="16" borderId="13" xfId="0" applyNumberFormat="1" applyFont="1" applyFill="1" applyBorder="1" applyAlignment="1">
      <alignment horizontal="center" vertical="center"/>
    </xf>
    <xf numFmtId="42" fontId="10" fillId="0" borderId="34" xfId="0" applyNumberFormat="1" applyFont="1" applyFill="1" applyBorder="1" applyAlignment="1">
      <alignment horizontal="center" vertical="center"/>
    </xf>
    <xf numFmtId="42" fontId="10" fillId="0" borderId="13" xfId="0" applyNumberFormat="1" applyFont="1" applyFill="1" applyBorder="1" applyAlignment="1">
      <alignment horizontal="center" vertical="center"/>
    </xf>
    <xf numFmtId="42" fontId="2" fillId="16" borderId="34" xfId="0" applyNumberFormat="1" applyFont="1" applyFill="1" applyBorder="1" applyAlignment="1">
      <alignment horizontal="center" vertical="center"/>
    </xf>
    <xf numFmtId="42" fontId="2" fillId="16" borderId="13" xfId="0" applyNumberFormat="1" applyFont="1" applyFill="1" applyBorder="1" applyAlignment="1">
      <alignment horizontal="center" vertical="center"/>
    </xf>
    <xf numFmtId="42" fontId="11" fillId="12" borderId="34" xfId="0" applyNumberFormat="1" applyFont="1" applyFill="1" applyBorder="1" applyAlignment="1">
      <alignment horizontal="center" vertical="center"/>
    </xf>
    <xf numFmtId="42" fontId="11" fillId="0" borderId="13" xfId="0" applyNumberFormat="1" applyFont="1" applyFill="1" applyBorder="1" applyAlignment="1">
      <alignment horizontal="center" vertical="center"/>
    </xf>
    <xf numFmtId="9" fontId="3" fillId="16" borderId="34" xfId="0" applyNumberFormat="1" applyFont="1" applyFill="1" applyBorder="1" applyAlignment="1">
      <alignment horizontal="center" vertical="center"/>
    </xf>
    <xf numFmtId="10" fontId="11" fillId="16" borderId="13" xfId="0" applyNumberFormat="1" applyFont="1" applyFill="1" applyBorder="1" applyAlignment="1">
      <alignment horizontal="center" vertical="center"/>
    </xf>
    <xf numFmtId="42" fontId="17" fillId="23" borderId="34" xfId="0" applyNumberFormat="1" applyFont="1" applyFill="1" applyBorder="1" applyAlignment="1">
      <alignment horizontal="center" vertical="center"/>
    </xf>
    <xf numFmtId="42" fontId="17" fillId="23" borderId="13" xfId="0" applyNumberFormat="1" applyFont="1" applyFill="1" applyBorder="1" applyAlignment="1">
      <alignment horizontal="center" vertical="center"/>
    </xf>
    <xf numFmtId="42" fontId="11" fillId="16" borderId="34" xfId="0" applyNumberFormat="1" applyFont="1" applyFill="1" applyBorder="1" applyAlignment="1">
      <alignment horizontal="center" vertical="center"/>
    </xf>
    <xf numFmtId="42" fontId="11" fillId="18" borderId="13" xfId="0" applyNumberFormat="1" applyFont="1" applyFill="1" applyBorder="1" applyAlignment="1">
      <alignment horizontal="center" vertical="center"/>
    </xf>
    <xf numFmtId="42" fontId="11" fillId="0" borderId="35" xfId="0" applyNumberFormat="1" applyFont="1" applyBorder="1" applyAlignment="1">
      <alignment horizontal="center" vertical="center" wrapText="1"/>
    </xf>
    <xf numFmtId="42" fontId="37" fillId="0" borderId="37" xfId="0" applyNumberFormat="1" applyFont="1" applyFill="1" applyBorder="1" applyAlignment="1">
      <alignment horizontal="center" vertical="center"/>
    </xf>
    <xf numFmtId="42" fontId="37" fillId="6" borderId="37" xfId="0" applyNumberFormat="1" applyFont="1" applyFill="1" applyBorder="1" applyAlignment="1">
      <alignment horizontal="center" vertical="center"/>
    </xf>
    <xf numFmtId="42" fontId="3" fillId="15" borderId="37" xfId="0" applyNumberFormat="1" applyFont="1" applyFill="1" applyBorder="1" applyAlignment="1">
      <alignment horizontal="center" vertical="center"/>
    </xf>
    <xf numFmtId="42" fontId="3" fillId="16" borderId="37" xfId="0" applyNumberFormat="1" applyFont="1" applyFill="1" applyBorder="1" applyAlignment="1">
      <alignment horizontal="center" vertical="center"/>
    </xf>
    <xf numFmtId="42" fontId="11" fillId="16" borderId="37" xfId="0" applyNumberFormat="1" applyFont="1" applyFill="1" applyBorder="1" applyAlignment="1">
      <alignment horizontal="center" vertical="center"/>
    </xf>
    <xf numFmtId="42" fontId="10" fillId="0" borderId="37" xfId="0" applyNumberFormat="1" applyFont="1" applyFill="1" applyBorder="1" applyAlignment="1">
      <alignment horizontal="center" vertical="center"/>
    </xf>
    <xf numFmtId="42" fontId="2" fillId="16" borderId="37" xfId="0" applyNumberFormat="1" applyFont="1" applyFill="1" applyBorder="1" applyAlignment="1">
      <alignment horizontal="center" vertical="center"/>
    </xf>
    <xf numFmtId="42" fontId="11" fillId="0" borderId="37" xfId="0" applyNumberFormat="1" applyFont="1" applyFill="1" applyBorder="1" applyAlignment="1">
      <alignment horizontal="center" vertical="center"/>
    </xf>
    <xf numFmtId="10" fontId="11" fillId="16" borderId="37" xfId="0" applyNumberFormat="1" applyFont="1" applyFill="1" applyBorder="1" applyAlignment="1">
      <alignment horizontal="center" vertical="center"/>
    </xf>
    <xf numFmtId="42" fontId="17" fillId="23" borderId="37" xfId="0" applyNumberFormat="1" applyFont="1" applyFill="1" applyBorder="1" applyAlignment="1">
      <alignment horizontal="center" vertical="center"/>
    </xf>
    <xf numFmtId="42" fontId="11" fillId="18" borderId="37" xfId="0" applyNumberFormat="1" applyFont="1" applyFill="1" applyBorder="1" applyAlignment="1">
      <alignment horizontal="center" vertical="center"/>
    </xf>
    <xf numFmtId="42" fontId="11" fillId="0" borderId="37" xfId="0" applyNumberFormat="1" applyFont="1" applyBorder="1" applyAlignment="1">
      <alignment horizontal="center" vertical="center" wrapText="1"/>
    </xf>
    <xf numFmtId="42" fontId="11" fillId="0" borderId="39" xfId="0" applyNumberFormat="1" applyFont="1" applyBorder="1" applyAlignment="1">
      <alignment horizontal="center" vertical="center" wrapText="1"/>
    </xf>
    <xf numFmtId="42" fontId="11" fillId="0" borderId="41" xfId="0" applyNumberFormat="1" applyFont="1" applyBorder="1" applyAlignment="1">
      <alignment horizontal="center" vertical="center" wrapText="1"/>
    </xf>
    <xf numFmtId="42" fontId="3" fillId="16" borderId="37" xfId="0" applyNumberFormat="1" applyFont="1" applyFill="1" applyBorder="1" applyAlignment="1">
      <alignment horizontal="center" vertical="center" wrapText="1"/>
    </xf>
    <xf numFmtId="42" fontId="3" fillId="0" borderId="39" xfId="0" applyNumberFormat="1" applyFont="1" applyBorder="1" applyAlignment="1">
      <alignment horizontal="center" vertical="center"/>
    </xf>
    <xf numFmtId="0" fontId="9" fillId="0" borderId="58" xfId="0" applyFont="1" applyBorder="1" applyAlignment="1">
      <alignment horizontal="left" vertical="center" wrapText="1"/>
    </xf>
    <xf numFmtId="0" fontId="9" fillId="0" borderId="58" xfId="0" applyFont="1" applyFill="1" applyBorder="1" applyAlignment="1">
      <alignment horizontal="center" vertical="center" wrapText="1"/>
    </xf>
    <xf numFmtId="0" fontId="19" fillId="0" borderId="58" xfId="0" applyFont="1" applyBorder="1" applyAlignment="1">
      <alignment horizontal="left" vertical="center" wrapText="1"/>
    </xf>
    <xf numFmtId="0" fontId="9" fillId="0" borderId="58" xfId="0" quotePrefix="1" applyFont="1" applyBorder="1" applyAlignment="1">
      <alignment horizontal="left" vertical="center" wrapText="1"/>
    </xf>
    <xf numFmtId="0" fontId="11" fillId="6" borderId="58" xfId="0" applyFont="1" applyFill="1" applyBorder="1" applyAlignment="1">
      <alignment horizontal="left" vertical="center" wrapText="1"/>
    </xf>
    <xf numFmtId="0" fontId="9" fillId="0" borderId="58" xfId="0" applyFont="1" applyFill="1" applyBorder="1" applyAlignment="1">
      <alignment horizontal="left" vertical="center" wrapText="1"/>
    </xf>
    <xf numFmtId="0" fontId="0" fillId="0" borderId="58" xfId="0" applyFont="1" applyFill="1" applyBorder="1" applyAlignment="1">
      <alignment horizontal="left" vertical="center"/>
    </xf>
    <xf numFmtId="0" fontId="9" fillId="15" borderId="58" xfId="0" applyFont="1" applyFill="1" applyBorder="1" applyAlignment="1">
      <alignment horizontal="left" vertical="center" wrapText="1"/>
    </xf>
    <xf numFmtId="0" fontId="26" fillId="0" borderId="58" xfId="0" applyFont="1" applyBorder="1" applyAlignment="1">
      <alignment horizontal="left" vertical="center" wrapText="1"/>
    </xf>
    <xf numFmtId="0" fontId="26" fillId="0" borderId="58" xfId="0" quotePrefix="1" applyFont="1" applyBorder="1" applyAlignment="1">
      <alignment horizontal="left" vertical="center" wrapText="1"/>
    </xf>
    <xf numFmtId="0" fontId="9" fillId="0" borderId="58" xfId="0" quotePrefix="1" applyFont="1" applyFill="1" applyBorder="1" applyAlignment="1">
      <alignment horizontal="left" vertical="center" wrapText="1"/>
    </xf>
    <xf numFmtId="0" fontId="9" fillId="0" borderId="58" xfId="0" applyFont="1" applyFill="1" applyBorder="1" applyAlignment="1">
      <alignment horizontal="left" vertical="center"/>
    </xf>
    <xf numFmtId="0" fontId="5" fillId="0" borderId="58" xfId="0" applyFont="1" applyFill="1" applyBorder="1" applyAlignment="1">
      <alignment horizontal="left" vertical="center" wrapText="1"/>
    </xf>
    <xf numFmtId="0" fontId="40" fillId="23" borderId="58" xfId="0" applyFont="1" applyFill="1" applyBorder="1" applyAlignment="1">
      <alignment horizontal="left" vertical="center" wrapText="1"/>
    </xf>
    <xf numFmtId="0" fontId="9" fillId="0" borderId="58" xfId="0" applyFont="1" applyFill="1" applyBorder="1" applyAlignment="1">
      <alignment vertical="center" wrapText="1"/>
    </xf>
    <xf numFmtId="0" fontId="11" fillId="0" borderId="58" xfId="0" applyFont="1" applyBorder="1" applyAlignment="1">
      <alignment horizontal="left" vertical="center" wrapText="1"/>
    </xf>
    <xf numFmtId="0" fontId="9" fillId="0" borderId="32" xfId="0" applyFont="1" applyBorder="1" applyAlignment="1">
      <alignment horizontal="left" vertical="center" wrapText="1"/>
    </xf>
    <xf numFmtId="42" fontId="11" fillId="0" borderId="13" xfId="0" applyNumberFormat="1" applyFont="1" applyFill="1" applyBorder="1" applyAlignment="1">
      <alignment horizontal="center" vertical="center" wrapText="1"/>
    </xf>
    <xf numFmtId="42" fontId="3" fillId="0" borderId="35" xfId="0" applyNumberFormat="1" applyFont="1" applyBorder="1" applyAlignment="1">
      <alignment horizontal="center" vertical="center"/>
    </xf>
    <xf numFmtId="42" fontId="3" fillId="0" borderId="21" xfId="0" applyNumberFormat="1" applyFont="1" applyBorder="1" applyAlignment="1">
      <alignment horizontal="center" vertical="center"/>
    </xf>
    <xf numFmtId="42" fontId="11" fillId="0" borderId="43" xfId="0" applyNumberFormat="1" applyFont="1" applyBorder="1" applyAlignment="1">
      <alignment horizontal="center" vertical="center" wrapText="1"/>
    </xf>
    <xf numFmtId="42" fontId="11" fillId="0" borderId="18" xfId="0" applyNumberFormat="1" applyFont="1" applyFill="1" applyBorder="1" applyAlignment="1">
      <alignment horizontal="center" vertical="center" wrapText="1"/>
    </xf>
    <xf numFmtId="42" fontId="11" fillId="0" borderId="21" xfId="0" applyNumberFormat="1" applyFont="1" applyFill="1" applyBorder="1" applyAlignment="1">
      <alignment horizontal="center" vertical="center" wrapText="1"/>
    </xf>
    <xf numFmtId="42" fontId="3" fillId="16" borderId="43" xfId="0" applyNumberFormat="1" applyFont="1" applyFill="1" applyBorder="1" applyAlignment="1">
      <alignment horizontal="center" vertical="center"/>
    </xf>
    <xf numFmtId="42" fontId="3" fillId="6" borderId="36" xfId="0" applyNumberFormat="1" applyFont="1" applyFill="1" applyBorder="1" applyAlignment="1">
      <alignment horizontal="center" vertical="center"/>
    </xf>
    <xf numFmtId="42" fontId="3" fillId="6" borderId="40" xfId="0" applyNumberFormat="1" applyFont="1" applyFill="1" applyBorder="1" applyAlignment="1">
      <alignment horizontal="center" vertical="center"/>
    </xf>
    <xf numFmtId="42" fontId="3" fillId="6" borderId="5" xfId="0" applyNumberFormat="1" applyFont="1" applyFill="1" applyBorder="1" applyAlignment="1">
      <alignment horizontal="center" vertical="center"/>
    </xf>
    <xf numFmtId="0" fontId="19" fillId="6" borderId="28" xfId="0" applyFont="1" applyFill="1" applyBorder="1" applyAlignment="1">
      <alignment horizontal="left" vertical="center" wrapText="1"/>
    </xf>
    <xf numFmtId="42" fontId="3" fillId="23" borderId="36" xfId="0" applyNumberFormat="1" applyFont="1" applyFill="1" applyBorder="1" applyAlignment="1">
      <alignment horizontal="center" vertical="center"/>
    </xf>
    <xf numFmtId="42" fontId="3" fillId="23" borderId="40" xfId="0" applyNumberFormat="1" applyFont="1" applyFill="1" applyBorder="1" applyAlignment="1">
      <alignment horizontal="center" vertical="center"/>
    </xf>
    <xf numFmtId="42" fontId="3" fillId="23" borderId="5" xfId="0" applyNumberFormat="1" applyFont="1" applyFill="1" applyBorder="1" applyAlignment="1">
      <alignment horizontal="center" vertical="center"/>
    </xf>
    <xf numFmtId="0" fontId="24" fillId="23" borderId="28" xfId="0" applyFont="1" applyFill="1" applyBorder="1" applyAlignment="1">
      <alignment horizontal="left" vertical="center" wrapText="1"/>
    </xf>
    <xf numFmtId="0" fontId="0" fillId="0" borderId="2" xfId="0" applyFont="1" applyFill="1" applyBorder="1" applyAlignment="1">
      <alignment vertical="center" wrapText="1"/>
    </xf>
    <xf numFmtId="0" fontId="19" fillId="0" borderId="2" xfId="0" applyFont="1" applyFill="1" applyBorder="1" applyAlignment="1">
      <alignment horizontal="left" vertical="center" wrapText="1"/>
    </xf>
    <xf numFmtId="42" fontId="19" fillId="0" borderId="2" xfId="0" applyNumberFormat="1" applyFont="1" applyFill="1" applyBorder="1" applyAlignment="1">
      <alignment horizontal="center" vertical="center" wrapText="1"/>
    </xf>
    <xf numFmtId="0" fontId="19" fillId="0" borderId="81" xfId="0" applyFont="1" applyFill="1" applyBorder="1" applyAlignment="1">
      <alignment horizontal="left" vertical="center" wrapText="1"/>
    </xf>
    <xf numFmtId="0" fontId="28" fillId="2" borderId="4" xfId="0" applyFont="1" applyFill="1" applyBorder="1" applyAlignment="1">
      <alignment vertical="center" wrapText="1"/>
    </xf>
    <xf numFmtId="0" fontId="28" fillId="2" borderId="4" xfId="0" quotePrefix="1" applyFont="1" applyFill="1" applyBorder="1" applyAlignment="1">
      <alignment horizontal="center" vertical="center"/>
    </xf>
    <xf numFmtId="42" fontId="28" fillId="2" borderId="4" xfId="0" applyNumberFormat="1" applyFont="1" applyFill="1" applyBorder="1" applyAlignment="1">
      <alignment horizontal="center" vertical="center"/>
    </xf>
    <xf numFmtId="0" fontId="42" fillId="2" borderId="5" xfId="0" applyFont="1" applyFill="1" applyBorder="1" applyAlignment="1">
      <alignment horizontal="left" vertical="center" wrapText="1"/>
    </xf>
    <xf numFmtId="0" fontId="28" fillId="15" borderId="17" xfId="0" applyFont="1" applyFill="1" applyBorder="1" applyAlignment="1">
      <alignment horizontal="right" vertical="center" wrapText="1"/>
    </xf>
    <xf numFmtId="0" fontId="3" fillId="15" borderId="41" xfId="0" applyFont="1" applyFill="1" applyBorder="1" applyAlignment="1">
      <alignment horizontal="center" vertical="center"/>
    </xf>
    <xf numFmtId="42" fontId="3" fillId="15" borderId="43" xfId="0" applyNumberFormat="1" applyFont="1" applyFill="1" applyBorder="1" applyAlignment="1">
      <alignment horizontal="center" vertical="center"/>
    </xf>
    <xf numFmtId="42" fontId="11" fillId="15" borderId="41" xfId="0" applyNumberFormat="1" applyFont="1" applyFill="1" applyBorder="1" applyAlignment="1">
      <alignment horizontal="center" vertical="center"/>
    </xf>
    <xf numFmtId="42" fontId="11" fillId="15" borderId="18" xfId="0" applyNumberFormat="1" applyFont="1" applyFill="1" applyBorder="1" applyAlignment="1">
      <alignment horizontal="center" vertical="center"/>
    </xf>
    <xf numFmtId="0" fontId="11" fillId="15" borderId="69" xfId="0" applyFont="1" applyFill="1" applyBorder="1" applyAlignment="1">
      <alignment horizontal="center" vertical="center" wrapText="1"/>
    </xf>
    <xf numFmtId="42" fontId="3" fillId="16" borderId="33" xfId="0" applyNumberFormat="1" applyFont="1" applyFill="1" applyBorder="1" applyAlignment="1">
      <alignment horizontal="center" vertical="center"/>
    </xf>
    <xf numFmtId="0" fontId="9" fillId="0" borderId="31" xfId="0" applyFont="1" applyBorder="1" applyAlignment="1">
      <alignment vertical="center" wrapText="1"/>
    </xf>
    <xf numFmtId="42" fontId="3" fillId="16" borderId="35" xfId="0" applyNumberFormat="1" applyFont="1" applyFill="1" applyBorder="1" applyAlignment="1">
      <alignment horizontal="center" vertical="center"/>
    </xf>
    <xf numFmtId="42" fontId="3" fillId="0" borderId="43" xfId="0" applyNumberFormat="1" applyFont="1" applyFill="1" applyBorder="1" applyAlignment="1">
      <alignment horizontal="center" vertical="center"/>
    </xf>
    <xf numFmtId="42" fontId="37" fillId="0" borderId="41" xfId="0" applyNumberFormat="1" applyFont="1" applyFill="1" applyBorder="1" applyAlignment="1">
      <alignment horizontal="center" vertical="center"/>
    </xf>
    <xf numFmtId="42" fontId="37" fillId="0" borderId="18" xfId="0" applyNumberFormat="1" applyFont="1" applyFill="1" applyBorder="1" applyAlignment="1">
      <alignment horizontal="center" vertical="center"/>
    </xf>
    <xf numFmtId="0" fontId="9" fillId="0" borderId="69" xfId="0" applyFont="1" applyFill="1" applyBorder="1" applyAlignment="1">
      <alignment horizontal="center" vertical="center" wrapText="1"/>
    </xf>
    <xf numFmtId="42" fontId="3" fillId="15" borderId="36" xfId="0" applyNumberFormat="1" applyFont="1" applyFill="1" applyBorder="1" applyAlignment="1">
      <alignment horizontal="center" vertical="center"/>
    </xf>
    <xf numFmtId="42" fontId="11" fillId="15" borderId="40" xfId="0" applyNumberFormat="1" applyFont="1" applyFill="1" applyBorder="1" applyAlignment="1">
      <alignment horizontal="center" vertical="center"/>
    </xf>
    <xf numFmtId="42" fontId="11" fillId="15" borderId="5" xfId="0" applyNumberFormat="1" applyFont="1" applyFill="1" applyBorder="1" applyAlignment="1">
      <alignment horizontal="center" vertical="center"/>
    </xf>
    <xf numFmtId="0" fontId="11" fillId="15" borderId="28" xfId="0" applyFont="1" applyFill="1" applyBorder="1" applyAlignment="1">
      <alignment horizontal="center" vertical="center" wrapText="1"/>
    </xf>
    <xf numFmtId="0" fontId="3" fillId="0" borderId="38" xfId="0" applyFont="1" applyFill="1" applyBorder="1" applyAlignment="1">
      <alignment horizontal="center" vertical="center"/>
    </xf>
    <xf numFmtId="42" fontId="3" fillId="0" borderId="33" xfId="0" applyNumberFormat="1" applyFont="1" applyFill="1" applyBorder="1" applyAlignment="1">
      <alignment horizontal="center" vertical="center"/>
    </xf>
    <xf numFmtId="42" fontId="37" fillId="0" borderId="38" xfId="0" applyNumberFormat="1" applyFont="1" applyFill="1" applyBorder="1" applyAlignment="1">
      <alignment horizontal="center" vertical="center"/>
    </xf>
    <xf numFmtId="42" fontId="37" fillId="0" borderId="12" xfId="0" applyNumberFormat="1" applyFont="1" applyFill="1" applyBorder="1" applyAlignment="1">
      <alignment horizontal="center" vertical="center"/>
    </xf>
    <xf numFmtId="0" fontId="9"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69" xfId="0" applyFont="1" applyBorder="1" applyAlignment="1">
      <alignment horizontal="left" vertical="center" wrapText="1"/>
    </xf>
    <xf numFmtId="42" fontId="44" fillId="6" borderId="36" xfId="0" applyNumberFormat="1" applyFont="1" applyFill="1" applyBorder="1" applyAlignment="1">
      <alignment horizontal="center" vertical="center"/>
    </xf>
    <xf numFmtId="42" fontId="34" fillId="6" borderId="40" xfId="0" applyNumberFormat="1" applyFont="1" applyFill="1" applyBorder="1" applyAlignment="1">
      <alignment horizontal="center" vertical="center"/>
    </xf>
    <xf numFmtId="42" fontId="34" fillId="6" borderId="5" xfId="0" applyNumberFormat="1" applyFont="1" applyFill="1" applyBorder="1" applyAlignment="1">
      <alignment horizontal="center" vertical="center"/>
    </xf>
    <xf numFmtId="0" fontId="24" fillId="6" borderId="28" xfId="0" applyFont="1" applyFill="1" applyBorder="1" applyAlignment="1">
      <alignment horizontal="left" vertical="center" wrapText="1"/>
    </xf>
    <xf numFmtId="0" fontId="9" fillId="0" borderId="31" xfId="0" applyFont="1" applyBorder="1" applyAlignment="1">
      <alignment horizontal="left" vertical="center" wrapText="1"/>
    </xf>
    <xf numFmtId="42" fontId="3" fillId="0" borderId="43" xfId="0" applyNumberFormat="1" applyFont="1" applyBorder="1" applyAlignment="1">
      <alignment horizontal="center" vertical="center"/>
    </xf>
    <xf numFmtId="164" fontId="3" fillId="15" borderId="40" xfId="0" applyNumberFormat="1" applyFont="1" applyFill="1" applyBorder="1" applyAlignment="1">
      <alignment horizontal="center" vertical="center"/>
    </xf>
    <xf numFmtId="42" fontId="3" fillId="0" borderId="33" xfId="0" applyNumberFormat="1" applyFont="1" applyBorder="1" applyAlignment="1">
      <alignment horizontal="center" vertical="center"/>
    </xf>
    <xf numFmtId="0" fontId="3" fillId="15" borderId="77" xfId="0" applyFont="1" applyFill="1" applyBorder="1" applyAlignment="1">
      <alignment horizontal="center" vertical="center"/>
    </xf>
    <xf numFmtId="0" fontId="28" fillId="15" borderId="2" xfId="0" applyFont="1" applyFill="1" applyBorder="1" applyAlignment="1">
      <alignment horizontal="right" vertical="center" wrapText="1"/>
    </xf>
    <xf numFmtId="0" fontId="3" fillId="15" borderId="27" xfId="0" applyFont="1" applyFill="1" applyBorder="1" applyAlignment="1">
      <alignment horizontal="center" vertical="center"/>
    </xf>
    <xf numFmtId="42" fontId="3" fillId="15" borderId="77" xfId="0" applyNumberFormat="1" applyFont="1" applyFill="1" applyBorder="1" applyAlignment="1">
      <alignment horizontal="center" vertical="center"/>
    </xf>
    <xf numFmtId="42" fontId="11" fillId="15" borderId="27" xfId="0" applyNumberFormat="1" applyFont="1" applyFill="1" applyBorder="1" applyAlignment="1">
      <alignment horizontal="center" vertical="center"/>
    </xf>
    <xf numFmtId="42" fontId="11" fillId="15" borderId="81" xfId="0" applyNumberFormat="1" applyFont="1" applyFill="1" applyBorder="1" applyAlignment="1">
      <alignment horizontal="center" vertical="center"/>
    </xf>
    <xf numFmtId="0" fontId="11" fillId="15" borderId="30" xfId="0" applyFont="1" applyFill="1" applyBorder="1" applyAlignment="1">
      <alignment horizontal="center" vertical="center" wrapText="1"/>
    </xf>
    <xf numFmtId="0" fontId="3" fillId="6" borderId="77" xfId="0" applyFont="1" applyFill="1" applyBorder="1" applyAlignment="1">
      <alignment horizontal="center" vertical="center"/>
    </xf>
    <xf numFmtId="0" fontId="7" fillId="6" borderId="2" xfId="0" applyFont="1" applyFill="1" applyBorder="1" applyAlignment="1">
      <alignment vertical="center" wrapText="1"/>
    </xf>
    <xf numFmtId="0" fontId="3" fillId="6" borderId="27" xfId="0" applyFont="1" applyFill="1" applyBorder="1" applyAlignment="1">
      <alignment horizontal="center" vertical="center"/>
    </xf>
    <xf numFmtId="42" fontId="3" fillId="6" borderId="77" xfId="0" applyNumberFormat="1" applyFont="1" applyFill="1" applyBorder="1" applyAlignment="1">
      <alignment horizontal="center" vertical="center"/>
    </xf>
    <xf numFmtId="42" fontId="37" fillId="6" borderId="27" xfId="0" applyNumberFormat="1" applyFont="1" applyFill="1" applyBorder="1" applyAlignment="1">
      <alignment horizontal="center" vertical="center"/>
    </xf>
    <xf numFmtId="42" fontId="37" fillId="6" borderId="81" xfId="0" applyNumberFormat="1" applyFont="1" applyFill="1" applyBorder="1" applyAlignment="1">
      <alignment horizontal="center" vertical="center"/>
    </xf>
    <xf numFmtId="0" fontId="19" fillId="6" borderId="30" xfId="0" applyFont="1" applyFill="1" applyBorder="1" applyAlignment="1">
      <alignment horizontal="left" vertical="center" wrapText="1"/>
    </xf>
    <xf numFmtId="0" fontId="0" fillId="0" borderId="6" xfId="0" applyFont="1" applyFill="1" applyBorder="1" applyAlignment="1">
      <alignment horizontal="right" vertical="center" wrapText="1"/>
    </xf>
    <xf numFmtId="0" fontId="3" fillId="0" borderId="42" xfId="0" applyFont="1" applyFill="1" applyBorder="1" applyAlignment="1">
      <alignment horizontal="center" vertical="center"/>
    </xf>
    <xf numFmtId="42" fontId="3" fillId="0" borderId="64" xfId="0" applyNumberFormat="1" applyFont="1" applyFill="1" applyBorder="1" applyAlignment="1">
      <alignment horizontal="center" vertical="center"/>
    </xf>
    <xf numFmtId="42" fontId="37" fillId="0" borderId="42" xfId="0" applyNumberFormat="1" applyFont="1" applyFill="1" applyBorder="1" applyAlignment="1">
      <alignment horizontal="center" vertical="center"/>
    </xf>
    <xf numFmtId="42" fontId="37" fillId="0" borderId="65" xfId="0" applyNumberFormat="1" applyFont="1" applyFill="1" applyBorder="1" applyAlignment="1">
      <alignment horizontal="center" vertical="center"/>
    </xf>
    <xf numFmtId="0" fontId="11" fillId="0" borderId="72" xfId="0" applyFont="1" applyFill="1" applyBorder="1" applyAlignment="1">
      <alignment horizontal="left" vertical="center" wrapText="1"/>
    </xf>
    <xf numFmtId="42" fontId="3" fillId="12" borderId="43" xfId="0" applyNumberFormat="1" applyFont="1" applyFill="1" applyBorder="1" applyAlignment="1">
      <alignment horizontal="center" vertical="center"/>
    </xf>
    <xf numFmtId="42" fontId="37" fillId="6" borderId="40" xfId="0" applyNumberFormat="1" applyFont="1" applyFill="1" applyBorder="1" applyAlignment="1">
      <alignment horizontal="center" vertical="center"/>
    </xf>
    <xf numFmtId="42" fontId="37" fillId="6" borderId="5" xfId="0" applyNumberFormat="1" applyFont="1" applyFill="1" applyBorder="1" applyAlignment="1">
      <alignment horizontal="center" vertical="center"/>
    </xf>
    <xf numFmtId="42" fontId="3" fillId="12" borderId="33" xfId="0" applyNumberFormat="1" applyFont="1" applyFill="1" applyBorder="1" applyAlignment="1">
      <alignment horizontal="center" vertical="center"/>
    </xf>
    <xf numFmtId="42" fontId="3" fillId="12" borderId="35" xfId="0" applyNumberFormat="1" applyFont="1" applyFill="1" applyBorder="1" applyAlignment="1">
      <alignment horizontal="center" vertical="center"/>
    </xf>
    <xf numFmtId="42" fontId="3" fillId="0" borderId="38" xfId="0" applyNumberFormat="1" applyFont="1" applyBorder="1" applyAlignment="1">
      <alignment horizontal="center" vertical="center"/>
    </xf>
    <xf numFmtId="0" fontId="3" fillId="15" borderId="27" xfId="0" quotePrefix="1" applyFont="1" applyFill="1" applyBorder="1" applyAlignment="1">
      <alignment horizontal="center" vertical="center"/>
    </xf>
    <xf numFmtId="42" fontId="3" fillId="0" borderId="64" xfId="0" applyNumberFormat="1" applyFont="1" applyBorder="1" applyAlignment="1">
      <alignment horizontal="center" vertical="center"/>
    </xf>
    <xf numFmtId="0" fontId="9" fillId="0" borderId="72" xfId="0" applyFont="1" applyBorder="1" applyAlignment="1">
      <alignment horizontal="left" vertical="center" wrapText="1"/>
    </xf>
    <xf numFmtId="0" fontId="11" fillId="6" borderId="28" xfId="0" applyFont="1" applyFill="1" applyBorder="1" applyAlignment="1">
      <alignment horizontal="left" vertical="center" wrapText="1"/>
    </xf>
    <xf numFmtId="42" fontId="3" fillId="16" borderId="64" xfId="0" applyNumberFormat="1" applyFont="1" applyFill="1" applyBorder="1" applyAlignment="1">
      <alignment horizontal="center" vertical="center"/>
    </xf>
    <xf numFmtId="0" fontId="0" fillId="0" borderId="69" xfId="0" applyFont="1" applyBorder="1" applyAlignment="1">
      <alignment vertical="center" wrapText="1"/>
    </xf>
    <xf numFmtId="0" fontId="0" fillId="15" borderId="28" xfId="0" applyFont="1" applyFill="1" applyBorder="1" applyAlignment="1">
      <alignment horizontal="center" vertical="center" wrapText="1"/>
    </xf>
    <xf numFmtId="0" fontId="10" fillId="0" borderId="64" xfId="0" applyFont="1" applyBorder="1" applyAlignment="1">
      <alignment horizontal="center" vertical="center"/>
    </xf>
    <xf numFmtId="0" fontId="10" fillId="0" borderId="42" xfId="0" quotePrefix="1" applyFont="1" applyBorder="1" applyAlignment="1">
      <alignment horizontal="center" vertical="center"/>
    </xf>
    <xf numFmtId="0" fontId="9" fillId="15" borderId="28" xfId="0" applyFont="1" applyFill="1" applyBorder="1" applyAlignment="1">
      <alignment horizontal="center" vertical="center" wrapText="1"/>
    </xf>
    <xf numFmtId="42" fontId="3" fillId="0" borderId="77" xfId="0" applyNumberFormat="1" applyFont="1" applyBorder="1" applyAlignment="1">
      <alignment horizontal="center" vertical="center"/>
    </xf>
    <xf numFmtId="42" fontId="37" fillId="0" borderId="27" xfId="0" applyNumberFormat="1" applyFont="1" applyFill="1" applyBorder="1" applyAlignment="1">
      <alignment horizontal="center" vertical="center"/>
    </xf>
    <xf numFmtId="42" fontId="37" fillId="0" borderId="81" xfId="0" applyNumberFormat="1" applyFont="1" applyFill="1" applyBorder="1" applyAlignment="1">
      <alignment horizontal="center" vertical="center"/>
    </xf>
    <xf numFmtId="0" fontId="9" fillId="0" borderId="30" xfId="0" applyFont="1" applyBorder="1" applyAlignment="1">
      <alignment horizontal="left" vertical="center" wrapText="1"/>
    </xf>
    <xf numFmtId="42" fontId="3" fillId="0" borderId="41" xfId="0" applyNumberFormat="1" applyFont="1" applyBorder="1" applyAlignment="1">
      <alignment horizontal="center" vertical="center"/>
    </xf>
    <xf numFmtId="42" fontId="3" fillId="0" borderId="18" xfId="0" applyNumberFormat="1" applyFont="1" applyBorder="1" applyAlignment="1">
      <alignment horizontal="center" vertical="center"/>
    </xf>
    <xf numFmtId="42" fontId="3" fillId="12" borderId="36" xfId="0" applyNumberFormat="1" applyFont="1" applyFill="1" applyBorder="1" applyAlignment="1">
      <alignment horizontal="center" vertical="center"/>
    </xf>
    <xf numFmtId="42" fontId="3" fillId="12" borderId="64" xfId="0" applyNumberFormat="1" applyFont="1" applyFill="1" applyBorder="1" applyAlignment="1">
      <alignment horizontal="center" vertical="center"/>
    </xf>
    <xf numFmtId="0" fontId="3" fillId="11" borderId="40" xfId="0" quotePrefix="1" applyFont="1" applyFill="1" applyBorder="1" applyAlignment="1">
      <alignment horizontal="center" vertical="center"/>
    </xf>
    <xf numFmtId="42" fontId="3" fillId="15" borderId="40" xfId="0" applyNumberFormat="1" applyFont="1" applyFill="1" applyBorder="1" applyAlignment="1">
      <alignment horizontal="center" vertical="center"/>
    </xf>
    <xf numFmtId="42" fontId="3" fillId="15" borderId="5" xfId="0" applyNumberFormat="1" applyFont="1" applyFill="1" applyBorder="1" applyAlignment="1">
      <alignment horizontal="center" vertical="center"/>
    </xf>
    <xf numFmtId="42" fontId="3" fillId="2" borderId="77" xfId="0" applyNumberFormat="1" applyFont="1" applyFill="1" applyBorder="1" applyAlignment="1">
      <alignment horizontal="center" vertical="center"/>
    </xf>
    <xf numFmtId="42" fontId="3" fillId="2" borderId="27" xfId="0" applyNumberFormat="1" applyFont="1" applyFill="1" applyBorder="1" applyAlignment="1">
      <alignment horizontal="center" vertical="center"/>
    </xf>
    <xf numFmtId="42" fontId="3" fillId="2" borderId="81" xfId="0" applyNumberFormat="1" applyFont="1" applyFill="1" applyBorder="1" applyAlignment="1">
      <alignment horizontal="center" vertical="center"/>
    </xf>
    <xf numFmtId="0" fontId="3" fillId="16" borderId="43" xfId="0" applyFont="1" applyFill="1" applyBorder="1" applyAlignment="1">
      <alignment horizontal="center" vertical="center"/>
    </xf>
    <xf numFmtId="0" fontId="0" fillId="16" borderId="17" xfId="0" applyFont="1" applyFill="1" applyBorder="1" applyAlignment="1">
      <alignment horizontal="left" vertical="center"/>
    </xf>
    <xf numFmtId="0" fontId="3" fillId="16" borderId="41" xfId="0" applyFont="1" applyFill="1" applyBorder="1" applyAlignment="1">
      <alignment horizontal="center" vertical="center"/>
    </xf>
    <xf numFmtId="42" fontId="3" fillId="16" borderId="41" xfId="0" applyNumberFormat="1" applyFont="1" applyFill="1" applyBorder="1" applyAlignment="1">
      <alignment horizontal="center" vertical="center"/>
    </xf>
    <xf numFmtId="42" fontId="3" fillId="16" borderId="18" xfId="0" applyNumberFormat="1" applyFont="1" applyFill="1" applyBorder="1" applyAlignment="1">
      <alignment horizontal="center" vertical="center"/>
    </xf>
    <xf numFmtId="0" fontId="0" fillId="0" borderId="69" xfId="0" applyFont="1" applyFill="1" applyBorder="1" applyAlignment="1">
      <alignment horizontal="left" vertical="center"/>
    </xf>
    <xf numFmtId="0" fontId="26" fillId="6" borderId="28" xfId="0" applyFont="1" applyFill="1" applyBorder="1" applyAlignment="1">
      <alignment horizontal="left" vertical="center" wrapText="1"/>
    </xf>
    <xf numFmtId="42" fontId="3" fillId="16" borderId="42" xfId="0" applyNumberFormat="1" applyFont="1" applyFill="1" applyBorder="1" applyAlignment="1">
      <alignment horizontal="center" vertical="center"/>
    </xf>
    <xf numFmtId="42" fontId="3" fillId="16" borderId="65" xfId="0" applyNumberFormat="1" applyFont="1" applyFill="1" applyBorder="1" applyAlignment="1">
      <alignment horizontal="center" vertical="center"/>
    </xf>
    <xf numFmtId="0" fontId="0" fillId="0" borderId="72" xfId="0" applyFont="1" applyFill="1" applyBorder="1" applyAlignment="1">
      <alignment horizontal="left" vertical="center"/>
    </xf>
    <xf numFmtId="0" fontId="9" fillId="0" borderId="69" xfId="0" applyFont="1" applyFill="1" applyBorder="1" applyAlignment="1">
      <alignment horizontal="left" vertical="center" wrapText="1"/>
    </xf>
    <xf numFmtId="42" fontId="2" fillId="15" borderId="36" xfId="0" applyNumberFormat="1" applyFont="1" applyFill="1" applyBorder="1" applyAlignment="1">
      <alignment horizontal="center" vertical="center"/>
    </xf>
    <xf numFmtId="42" fontId="2" fillId="15" borderId="40" xfId="0" applyNumberFormat="1" applyFont="1" applyFill="1" applyBorder="1" applyAlignment="1">
      <alignment horizontal="center" vertical="center"/>
    </xf>
    <xf numFmtId="42" fontId="2" fillId="15" borderId="5" xfId="0" applyNumberFormat="1" applyFont="1" applyFill="1" applyBorder="1" applyAlignment="1">
      <alignment horizontal="center" vertical="center"/>
    </xf>
    <xf numFmtId="0" fontId="19" fillId="15" borderId="28" xfId="0" applyFont="1" applyFill="1" applyBorder="1" applyAlignment="1">
      <alignment horizontal="center" vertical="center" wrapText="1"/>
    </xf>
    <xf numFmtId="0" fontId="8" fillId="16" borderId="6" xfId="0" applyFont="1" applyFill="1" applyBorder="1" applyAlignment="1">
      <alignment vertical="center" wrapText="1"/>
    </xf>
    <xf numFmtId="42" fontId="11" fillId="16" borderId="42" xfId="0" applyNumberFormat="1" applyFont="1" applyFill="1" applyBorder="1" applyAlignment="1">
      <alignment horizontal="center" vertical="center"/>
    </xf>
    <xf numFmtId="0" fontId="9" fillId="0" borderId="72" xfId="0" applyFont="1" applyFill="1" applyBorder="1" applyAlignment="1">
      <alignment horizontal="left" vertical="center" wrapText="1"/>
    </xf>
    <xf numFmtId="42" fontId="2" fillId="3" borderId="36" xfId="0" applyNumberFormat="1" applyFont="1" applyFill="1" applyBorder="1" applyAlignment="1">
      <alignment horizontal="center" vertical="center"/>
    </xf>
    <xf numFmtId="42" fontId="2" fillId="3" borderId="40" xfId="0" applyNumberFormat="1" applyFont="1" applyFill="1" applyBorder="1" applyAlignment="1">
      <alignment horizontal="center" vertical="center"/>
    </xf>
    <xf numFmtId="42" fontId="2" fillId="3" borderId="5" xfId="0" applyNumberFormat="1" applyFont="1" applyFill="1" applyBorder="1" applyAlignment="1">
      <alignment horizontal="center" vertical="center"/>
    </xf>
    <xf numFmtId="0" fontId="19" fillId="3" borderId="28" xfId="0" applyFont="1" applyFill="1" applyBorder="1" applyAlignment="1">
      <alignment horizontal="left" vertical="center" wrapText="1"/>
    </xf>
    <xf numFmtId="0" fontId="0" fillId="0" borderId="2" xfId="0" applyFont="1" applyBorder="1" applyAlignment="1">
      <alignment horizontal="right" vertical="center" wrapText="1"/>
    </xf>
    <xf numFmtId="42" fontId="3" fillId="16" borderId="77" xfId="0" applyNumberFormat="1" applyFont="1" applyFill="1" applyBorder="1" applyAlignment="1">
      <alignment horizontal="center" vertical="center"/>
    </xf>
    <xf numFmtId="42" fontId="3" fillId="0" borderId="27" xfId="0" applyNumberFormat="1" applyFont="1" applyBorder="1" applyAlignment="1">
      <alignment horizontal="center" vertical="center"/>
    </xf>
    <xf numFmtId="42" fontId="3" fillId="0" borderId="81" xfId="0" applyNumberFormat="1" applyFont="1" applyBorder="1" applyAlignment="1">
      <alignment horizontal="center" vertical="center"/>
    </xf>
    <xf numFmtId="0" fontId="25" fillId="23" borderId="28" xfId="0" applyFont="1" applyFill="1" applyBorder="1" applyAlignment="1">
      <alignment horizontal="left" vertical="center" wrapText="1"/>
    </xf>
    <xf numFmtId="0" fontId="25" fillId="0" borderId="72" xfId="0" applyFont="1" applyBorder="1" applyAlignment="1">
      <alignment horizontal="center" vertical="center" wrapText="1"/>
    </xf>
    <xf numFmtId="0" fontId="45" fillId="3" borderId="4" xfId="0" applyFont="1" applyFill="1" applyBorder="1" applyAlignment="1">
      <alignment horizontal="right" vertical="center" wrapText="1"/>
    </xf>
    <xf numFmtId="42" fontId="3" fillId="3" borderId="40" xfId="0" applyNumberFormat="1" applyFont="1" applyFill="1" applyBorder="1" applyAlignment="1">
      <alignment horizontal="center" vertical="center"/>
    </xf>
    <xf numFmtId="0" fontId="9" fillId="3" borderId="28" xfId="0" applyFont="1" applyFill="1" applyBorder="1" applyAlignment="1">
      <alignment horizontal="left" vertical="center" wrapText="1"/>
    </xf>
    <xf numFmtId="0" fontId="27" fillId="0" borderId="69" xfId="0" applyFont="1" applyBorder="1" applyAlignment="1">
      <alignment horizontal="left" vertical="center" wrapText="1"/>
    </xf>
    <xf numFmtId="42" fontId="11" fillId="23" borderId="36" xfId="0" applyNumberFormat="1" applyFont="1" applyFill="1" applyBorder="1" applyAlignment="1">
      <alignment horizontal="center" vertical="center"/>
    </xf>
    <xf numFmtId="42" fontId="11" fillId="23" borderId="40" xfId="0" applyNumberFormat="1" applyFont="1" applyFill="1" applyBorder="1" applyAlignment="1">
      <alignment horizontal="center" vertical="center"/>
    </xf>
    <xf numFmtId="42" fontId="11" fillId="23" borderId="5" xfId="0" applyNumberFormat="1" applyFont="1" applyFill="1" applyBorder="1" applyAlignment="1">
      <alignment horizontal="center" vertical="center"/>
    </xf>
    <xf numFmtId="0" fontId="25" fillId="0" borderId="69" xfId="0" applyFont="1" applyBorder="1" applyAlignment="1">
      <alignment horizontal="left" vertical="center" wrapText="1"/>
    </xf>
    <xf numFmtId="0" fontId="10" fillId="0" borderId="72" xfId="0" applyFont="1" applyBorder="1" applyAlignment="1">
      <alignment horizontal="center" vertical="center" wrapText="1"/>
    </xf>
    <xf numFmtId="42" fontId="3" fillId="0" borderId="41" xfId="0" applyNumberFormat="1" applyFont="1" applyFill="1" applyBorder="1" applyAlignment="1">
      <alignment horizontal="center" vertical="center"/>
    </xf>
    <xf numFmtId="42" fontId="3" fillId="0" borderId="18" xfId="0" applyNumberFormat="1" applyFont="1" applyFill="1" applyBorder="1" applyAlignment="1">
      <alignment horizontal="center" vertical="center"/>
    </xf>
    <xf numFmtId="0" fontId="2" fillId="3" borderId="40" xfId="0" applyFont="1" applyFill="1" applyBorder="1" applyAlignment="1">
      <alignment horizontal="center" vertical="center"/>
    </xf>
    <xf numFmtId="42" fontId="3" fillId="0" borderId="27" xfId="0" applyNumberFormat="1" applyFont="1" applyFill="1" applyBorder="1" applyAlignment="1">
      <alignment horizontal="center" vertical="center"/>
    </xf>
    <xf numFmtId="42" fontId="3" fillId="0" borderId="81" xfId="0" applyNumberFormat="1" applyFont="1" applyFill="1" applyBorder="1" applyAlignment="1">
      <alignment horizontal="center" vertical="center"/>
    </xf>
    <xf numFmtId="0" fontId="11" fillId="0" borderId="69" xfId="0" applyFont="1" applyBorder="1" applyAlignment="1">
      <alignment horizontal="center" vertical="center" wrapText="1"/>
    </xf>
    <xf numFmtId="0" fontId="9" fillId="23" borderId="28" xfId="0" applyFont="1" applyFill="1" applyBorder="1" applyAlignment="1">
      <alignment horizontal="left" vertical="center" wrapText="1"/>
    </xf>
    <xf numFmtId="42" fontId="3" fillId="16" borderId="27" xfId="0" applyNumberFormat="1" applyFont="1" applyFill="1" applyBorder="1" applyAlignment="1">
      <alignment horizontal="center" vertical="center"/>
    </xf>
    <xf numFmtId="42" fontId="3" fillId="16" borderId="81" xfId="0" applyNumberFormat="1" applyFont="1" applyFill="1" applyBorder="1" applyAlignment="1">
      <alignment horizontal="center" vertical="center"/>
    </xf>
    <xf numFmtId="0" fontId="11" fillId="0" borderId="30" xfId="0" applyFont="1" applyBorder="1" applyAlignment="1">
      <alignment horizontal="center" vertical="center" wrapText="1"/>
    </xf>
    <xf numFmtId="0" fontId="2" fillId="0" borderId="17" xfId="0" applyFont="1" applyBorder="1" applyAlignment="1">
      <alignment vertical="center" wrapText="1"/>
    </xf>
    <xf numFmtId="0" fontId="11" fillId="3" borderId="28" xfId="0" applyFont="1" applyFill="1" applyBorder="1" applyAlignment="1">
      <alignment horizontal="center" vertical="center" wrapText="1"/>
    </xf>
    <xf numFmtId="0" fontId="2" fillId="0" borderId="6" xfId="0" applyFont="1" applyBorder="1" applyAlignment="1">
      <alignment horizontal="right" vertical="center" wrapText="1"/>
    </xf>
    <xf numFmtId="0" fontId="9" fillId="0" borderId="72" xfId="0" applyFont="1" applyBorder="1" applyAlignment="1">
      <alignment horizontal="center" vertical="center" wrapText="1"/>
    </xf>
    <xf numFmtId="0" fontId="9" fillId="15" borderId="28" xfId="0" applyFont="1" applyFill="1" applyBorder="1" applyAlignment="1">
      <alignment horizontal="left" vertical="center" wrapText="1"/>
    </xf>
    <xf numFmtId="42" fontId="37" fillId="18" borderId="64" xfId="0" applyNumberFormat="1" applyFont="1" applyFill="1" applyBorder="1" applyAlignment="1">
      <alignment horizontal="center" vertical="center"/>
    </xf>
    <xf numFmtId="0" fontId="3" fillId="17" borderId="36" xfId="0" applyFont="1" applyFill="1" applyBorder="1" applyAlignment="1">
      <alignment horizontal="center" vertical="center"/>
    </xf>
    <xf numFmtId="0" fontId="3" fillId="17" borderId="4" xfId="0" applyFont="1" applyFill="1" applyBorder="1" applyAlignment="1">
      <alignment vertical="center" wrapText="1"/>
    </xf>
    <xf numFmtId="0" fontId="3" fillId="17" borderId="40" xfId="0" applyFont="1" applyFill="1" applyBorder="1" applyAlignment="1">
      <alignment horizontal="center" vertical="center"/>
    </xf>
    <xf numFmtId="42" fontId="3" fillId="17" borderId="36" xfId="0" applyNumberFormat="1" applyFont="1" applyFill="1" applyBorder="1" applyAlignment="1">
      <alignment horizontal="center" vertical="center"/>
    </xf>
    <xf numFmtId="42" fontId="3" fillId="17" borderId="40" xfId="0" applyNumberFormat="1" applyFont="1" applyFill="1" applyBorder="1" applyAlignment="1">
      <alignment horizontal="center" vertical="center"/>
    </xf>
    <xf numFmtId="42" fontId="3" fillId="17" borderId="5" xfId="0" applyNumberFormat="1" applyFont="1" applyFill="1" applyBorder="1" applyAlignment="1">
      <alignment horizontal="center" vertical="center"/>
    </xf>
    <xf numFmtId="0" fontId="11" fillId="17" borderId="28" xfId="0" applyFont="1" applyFill="1" applyBorder="1" applyAlignment="1">
      <alignment horizontal="center" vertical="center" wrapText="1"/>
    </xf>
    <xf numFmtId="42" fontId="3" fillId="0" borderId="77" xfId="0" applyNumberFormat="1" applyFont="1" applyFill="1" applyBorder="1" applyAlignment="1">
      <alignment horizontal="center" vertical="center"/>
    </xf>
    <xf numFmtId="0" fontId="11" fillId="0" borderId="30" xfId="0" applyFont="1" applyFill="1" applyBorder="1" applyAlignment="1">
      <alignment horizontal="center" vertical="center" wrapText="1"/>
    </xf>
    <xf numFmtId="0" fontId="3" fillId="7" borderId="36" xfId="0" applyFont="1" applyFill="1" applyBorder="1" applyAlignment="1">
      <alignment horizontal="center" vertical="center"/>
    </xf>
    <xf numFmtId="0" fontId="3" fillId="7" borderId="4" xfId="0" quotePrefix="1" applyFont="1" applyFill="1" applyBorder="1" applyAlignment="1">
      <alignment horizontal="right" vertical="center" wrapText="1"/>
    </xf>
    <xf numFmtId="0" fontId="3" fillId="7" borderId="40" xfId="0" applyFont="1" applyFill="1" applyBorder="1" applyAlignment="1">
      <alignment horizontal="center" vertical="center"/>
    </xf>
    <xf numFmtId="42" fontId="11" fillId="7" borderId="36" xfId="0" applyNumberFormat="1" applyFont="1" applyFill="1" applyBorder="1" applyAlignment="1">
      <alignment horizontal="center" vertical="center"/>
    </xf>
    <xf numFmtId="42" fontId="3" fillId="7" borderId="40" xfId="0" applyNumberFormat="1" applyFont="1" applyFill="1" applyBorder="1" applyAlignment="1">
      <alignment horizontal="center" vertical="center"/>
    </xf>
    <xf numFmtId="42" fontId="3" fillId="7" borderId="5" xfId="0" applyNumberFormat="1" applyFont="1" applyFill="1" applyBorder="1" applyAlignment="1">
      <alignment horizontal="center" vertical="center"/>
    </xf>
    <xf numFmtId="0" fontId="9" fillId="7" borderId="28" xfId="0" quotePrefix="1" applyFont="1" applyFill="1" applyBorder="1" applyAlignment="1">
      <alignment horizontal="left" vertical="center" wrapText="1"/>
    </xf>
    <xf numFmtId="0" fontId="9" fillId="0" borderId="30" xfId="0" applyFont="1" applyFill="1" applyBorder="1" applyAlignment="1">
      <alignment horizontal="left" vertical="center" wrapText="1"/>
    </xf>
    <xf numFmtId="42" fontId="2" fillId="0" borderId="41" xfId="0" applyNumberFormat="1" applyFont="1" applyBorder="1" applyAlignment="1">
      <alignment horizontal="center" vertical="center"/>
    </xf>
    <xf numFmtId="42" fontId="2" fillId="0" borderId="18" xfId="0" applyNumberFormat="1" applyFont="1" applyBorder="1" applyAlignment="1">
      <alignment horizontal="center" vertical="center"/>
    </xf>
    <xf numFmtId="0" fontId="24" fillId="0" borderId="69" xfId="0" quotePrefix="1" applyFont="1" applyBorder="1" applyAlignment="1">
      <alignment horizontal="left" vertical="center" wrapText="1"/>
    </xf>
    <xf numFmtId="0" fontId="25" fillId="23" borderId="28" xfId="0" quotePrefix="1" applyFont="1" applyFill="1" applyBorder="1" applyAlignment="1">
      <alignment horizontal="left" vertical="center" wrapText="1"/>
    </xf>
    <xf numFmtId="0" fontId="3" fillId="0" borderId="17" xfId="0" applyFont="1" applyFill="1" applyBorder="1" applyAlignment="1">
      <alignment horizontal="right" vertical="center"/>
    </xf>
    <xf numFmtId="0" fontId="9" fillId="0" borderId="69" xfId="0" applyFont="1" applyFill="1" applyBorder="1" applyAlignment="1">
      <alignment horizontal="left" vertical="center"/>
    </xf>
    <xf numFmtId="0" fontId="3" fillId="15" borderId="4" xfId="0" applyFont="1" applyFill="1" applyBorder="1" applyAlignment="1">
      <alignment horizontal="right" vertical="center"/>
    </xf>
    <xf numFmtId="0" fontId="9" fillId="15" borderId="28" xfId="0" applyFont="1" applyFill="1" applyBorder="1" applyAlignment="1">
      <alignment horizontal="left" vertical="center"/>
    </xf>
    <xf numFmtId="0" fontId="3" fillId="7" borderId="34" xfId="0" applyFont="1" applyFill="1" applyBorder="1" applyAlignment="1">
      <alignment horizontal="center" vertical="center"/>
    </xf>
    <xf numFmtId="0" fontId="3" fillId="7" borderId="37" xfId="0" applyFont="1" applyFill="1" applyBorder="1" applyAlignment="1">
      <alignment horizontal="center" vertical="center"/>
    </xf>
    <xf numFmtId="0" fontId="9" fillId="7" borderId="58" xfId="0" applyFont="1" applyFill="1" applyBorder="1" applyAlignment="1">
      <alignment horizontal="left" vertical="center"/>
    </xf>
    <xf numFmtId="0" fontId="3" fillId="0" borderId="6" xfId="0" applyFont="1" applyFill="1" applyBorder="1" applyAlignment="1">
      <alignment horizontal="right" vertical="center"/>
    </xf>
    <xf numFmtId="0" fontId="9" fillId="0" borderId="42" xfId="0" applyFont="1" applyFill="1" applyBorder="1" applyAlignment="1">
      <alignment horizontal="left" vertical="center"/>
    </xf>
    <xf numFmtId="0" fontId="9" fillId="0" borderId="72" xfId="0" applyFont="1" applyFill="1" applyBorder="1" applyAlignment="1">
      <alignment horizontal="left" vertical="center"/>
    </xf>
    <xf numFmtId="0" fontId="17" fillId="21" borderId="36" xfId="0" applyFont="1" applyFill="1" applyBorder="1" applyAlignment="1">
      <alignment horizontal="center" vertical="center"/>
    </xf>
    <xf numFmtId="0" fontId="7" fillId="21" borderId="4" xfId="0" applyFont="1" applyFill="1" applyBorder="1" applyAlignment="1">
      <alignment vertical="center" wrapText="1"/>
    </xf>
    <xf numFmtId="0" fontId="17" fillId="21" borderId="40" xfId="0" applyFont="1" applyFill="1" applyBorder="1" applyAlignment="1">
      <alignment horizontal="center" vertical="center"/>
    </xf>
    <xf numFmtId="42" fontId="17" fillId="21" borderId="36" xfId="0" applyNumberFormat="1" applyFont="1" applyFill="1" applyBorder="1" applyAlignment="1">
      <alignment horizontal="center" vertical="center"/>
    </xf>
    <xf numFmtId="42" fontId="40" fillId="21" borderId="40" xfId="0" applyNumberFormat="1" applyFont="1" applyFill="1" applyBorder="1" applyAlignment="1">
      <alignment horizontal="center" vertical="center"/>
    </xf>
    <xf numFmtId="42" fontId="40" fillId="21" borderId="5" xfId="0" applyNumberFormat="1" applyFont="1" applyFill="1" applyBorder="1" applyAlignment="1">
      <alignment horizontal="center" vertical="center"/>
    </xf>
    <xf numFmtId="0" fontId="39" fillId="21" borderId="28" xfId="0" applyFont="1" applyFill="1" applyBorder="1" applyAlignment="1">
      <alignment horizontal="left" vertical="center" wrapText="1"/>
    </xf>
    <xf numFmtId="42" fontId="11" fillId="15" borderId="36" xfId="0" applyNumberFormat="1" applyFont="1" applyFill="1" applyBorder="1" applyAlignment="1">
      <alignment horizontal="center" vertical="center"/>
    </xf>
    <xf numFmtId="0" fontId="11" fillId="15" borderId="28" xfId="0" applyFont="1" applyFill="1" applyBorder="1" applyAlignment="1">
      <alignment horizontal="left" vertical="center" wrapText="1"/>
    </xf>
    <xf numFmtId="42" fontId="40" fillId="23" borderId="36" xfId="0" applyNumberFormat="1" applyFont="1" applyFill="1" applyBorder="1" applyAlignment="1">
      <alignment horizontal="center" vertical="center"/>
    </xf>
    <xf numFmtId="42" fontId="40" fillId="23" borderId="40" xfId="0" applyNumberFormat="1" applyFont="1" applyFill="1" applyBorder="1" applyAlignment="1">
      <alignment horizontal="center" vertical="center"/>
    </xf>
    <xf numFmtId="42" fontId="40" fillId="23" borderId="5" xfId="0" applyNumberFormat="1" applyFont="1" applyFill="1" applyBorder="1" applyAlignment="1">
      <alignment horizontal="center" vertical="center"/>
    </xf>
    <xf numFmtId="0" fontId="39" fillId="23" borderId="28" xfId="0" applyFont="1" applyFill="1" applyBorder="1" applyAlignment="1">
      <alignment horizontal="left" vertical="center" wrapText="1"/>
    </xf>
    <xf numFmtId="0" fontId="9" fillId="16" borderId="17" xfId="0" applyFont="1" applyFill="1" applyBorder="1" applyAlignment="1">
      <alignment horizontal="right" vertical="center" wrapText="1"/>
    </xf>
    <xf numFmtId="0" fontId="9" fillId="16" borderId="6" xfId="0" applyFont="1" applyFill="1" applyBorder="1" applyAlignment="1">
      <alignment horizontal="right" vertical="center" wrapText="1"/>
    </xf>
    <xf numFmtId="0" fontId="11" fillId="0" borderId="43" xfId="0" applyFont="1" applyFill="1" applyBorder="1" applyAlignment="1">
      <alignment horizontal="center" vertical="center"/>
    </xf>
    <xf numFmtId="0" fontId="9" fillId="0" borderId="17" xfId="0" applyFont="1" applyFill="1" applyBorder="1" applyAlignment="1">
      <alignment vertical="center" wrapText="1"/>
    </xf>
    <xf numFmtId="0" fontId="11" fillId="0" borderId="41" xfId="0" applyFont="1" applyFill="1" applyBorder="1" applyAlignment="1">
      <alignment horizontal="center" vertical="center"/>
    </xf>
    <xf numFmtId="42" fontId="11" fillId="0" borderId="43" xfId="0" applyNumberFormat="1" applyFont="1" applyFill="1" applyBorder="1" applyAlignment="1">
      <alignment horizontal="left" vertical="center"/>
    </xf>
    <xf numFmtId="42" fontId="11" fillId="0" borderId="41" xfId="0" applyNumberFormat="1" applyFont="1" applyFill="1" applyBorder="1" applyAlignment="1">
      <alignment horizontal="center" vertical="center"/>
    </xf>
    <xf numFmtId="42" fontId="11" fillId="0" borderId="18" xfId="0" applyNumberFormat="1" applyFont="1" applyFill="1" applyBorder="1" applyAlignment="1">
      <alignment horizontal="center" vertical="center"/>
    </xf>
    <xf numFmtId="0" fontId="11" fillId="0" borderId="64" xfId="0" applyFont="1" applyFill="1" applyBorder="1" applyAlignment="1">
      <alignment horizontal="center" vertical="center"/>
    </xf>
    <xf numFmtId="0" fontId="9" fillId="0" borderId="6" xfId="0" applyFont="1" applyFill="1" applyBorder="1" applyAlignment="1">
      <alignment vertical="center" wrapText="1"/>
    </xf>
    <xf numFmtId="42" fontId="11" fillId="16" borderId="64" xfId="0" applyNumberFormat="1" applyFont="1" applyFill="1" applyBorder="1" applyAlignment="1">
      <alignment horizontal="center" vertical="center"/>
    </xf>
    <xf numFmtId="42" fontId="11" fillId="18" borderId="42" xfId="0" applyNumberFormat="1" applyFont="1" applyFill="1" applyBorder="1" applyAlignment="1">
      <alignment horizontal="center" vertical="center"/>
    </xf>
    <xf numFmtId="42" fontId="11" fillId="18" borderId="65" xfId="0" applyNumberFormat="1" applyFont="1" applyFill="1" applyBorder="1" applyAlignment="1">
      <alignment horizontal="center" vertical="center"/>
    </xf>
    <xf numFmtId="42" fontId="11" fillId="0" borderId="43" xfId="0" applyNumberFormat="1" applyFont="1" applyFill="1" applyBorder="1" applyAlignment="1">
      <alignment horizontal="center" vertical="center"/>
    </xf>
    <xf numFmtId="0" fontId="10" fillId="0" borderId="42" xfId="0" applyFont="1" applyBorder="1" applyAlignment="1">
      <alignment horizontal="center" vertical="center"/>
    </xf>
    <xf numFmtId="0" fontId="45" fillId="0" borderId="17" xfId="0" applyFont="1" applyFill="1" applyBorder="1" applyAlignment="1">
      <alignment horizontal="right" vertical="center" wrapText="1"/>
    </xf>
    <xf numFmtId="42" fontId="37" fillId="18" borderId="40" xfId="0" applyNumberFormat="1" applyFont="1" applyFill="1" applyBorder="1" applyAlignment="1">
      <alignment horizontal="center" vertical="center"/>
    </xf>
    <xf numFmtId="42" fontId="37" fillId="18" borderId="5" xfId="0" applyNumberFormat="1" applyFont="1" applyFill="1" applyBorder="1" applyAlignment="1">
      <alignment horizontal="center" vertical="center"/>
    </xf>
    <xf numFmtId="42" fontId="3" fillId="0" borderId="42" xfId="0" applyNumberFormat="1" applyFont="1" applyFill="1" applyBorder="1" applyAlignment="1">
      <alignment horizontal="center" vertical="center"/>
    </xf>
    <xf numFmtId="42" fontId="3" fillId="0" borderId="65" xfId="0" applyNumberFormat="1" applyFont="1" applyFill="1" applyBorder="1" applyAlignment="1">
      <alignment horizontal="center" vertical="center"/>
    </xf>
    <xf numFmtId="0" fontId="9" fillId="0" borderId="72" xfId="0" applyFont="1" applyFill="1" applyBorder="1" applyAlignment="1">
      <alignment horizontal="center" vertical="center" wrapText="1"/>
    </xf>
    <xf numFmtId="42" fontId="37" fillId="6" borderId="36" xfId="0" applyNumberFormat="1" applyFont="1" applyFill="1" applyBorder="1" applyAlignment="1">
      <alignment horizontal="center" vertical="center"/>
    </xf>
    <xf numFmtId="0" fontId="9" fillId="6" borderId="28" xfId="0" applyFont="1" applyFill="1" applyBorder="1" applyAlignment="1">
      <alignment horizontal="center" vertical="center" wrapText="1"/>
    </xf>
    <xf numFmtId="0" fontId="11" fillId="0" borderId="17" xfId="0" applyFont="1" applyBorder="1" applyAlignment="1">
      <alignment horizontal="left" vertical="center" wrapText="1"/>
    </xf>
    <xf numFmtId="0" fontId="11" fillId="0" borderId="69" xfId="0" applyFont="1" applyBorder="1" applyAlignment="1">
      <alignment horizontal="left" vertical="center" wrapText="1"/>
    </xf>
    <xf numFmtId="0" fontId="45" fillId="16" borderId="11" xfId="0" applyFont="1" applyFill="1" applyBorder="1" applyAlignment="1">
      <alignment horizontal="right" vertical="center" wrapText="1"/>
    </xf>
    <xf numFmtId="42" fontId="11" fillId="0" borderId="38" xfId="0" applyNumberFormat="1" applyFont="1" applyFill="1" applyBorder="1" applyAlignment="1">
      <alignment horizontal="center" vertical="center"/>
    </xf>
    <xf numFmtId="42" fontId="11" fillId="0" borderId="12" xfId="0" applyNumberFormat="1" applyFont="1" applyFill="1" applyBorder="1" applyAlignment="1">
      <alignment horizontal="center" vertical="center"/>
    </xf>
    <xf numFmtId="0" fontId="11" fillId="0" borderId="20" xfId="0" applyFont="1" applyBorder="1" applyAlignment="1">
      <alignment horizontal="right" vertical="center" wrapText="1"/>
    </xf>
    <xf numFmtId="0" fontId="11" fillId="0" borderId="39" xfId="0" applyFont="1" applyBorder="1" applyAlignment="1">
      <alignment horizontal="left" vertical="center" wrapText="1"/>
    </xf>
    <xf numFmtId="0" fontId="11" fillId="0" borderId="32" xfId="0" applyFont="1" applyBorder="1" applyAlignment="1">
      <alignment horizontal="left" vertical="center" wrapText="1"/>
    </xf>
    <xf numFmtId="0" fontId="11" fillId="0" borderId="17" xfId="0" applyFont="1" applyBorder="1" applyAlignment="1">
      <alignment horizontal="right" vertical="center" wrapText="1"/>
    </xf>
    <xf numFmtId="0" fontId="45" fillId="16" borderId="6" xfId="0" applyFont="1" applyFill="1" applyBorder="1" applyAlignment="1">
      <alignment horizontal="right" vertical="center" wrapText="1"/>
    </xf>
    <xf numFmtId="0" fontId="3" fillId="0" borderId="6" xfId="0" quotePrefix="1" applyFont="1" applyBorder="1" applyAlignment="1">
      <alignment horizontal="center" vertical="center"/>
    </xf>
    <xf numFmtId="42" fontId="3" fillId="0" borderId="42" xfId="0" applyNumberFormat="1" applyFont="1" applyBorder="1" applyAlignment="1">
      <alignment horizontal="center" vertical="center"/>
    </xf>
    <xf numFmtId="42" fontId="3" fillId="0" borderId="65" xfId="0" applyNumberFormat="1" applyFont="1" applyBorder="1" applyAlignment="1">
      <alignment horizontal="center" vertical="center"/>
    </xf>
    <xf numFmtId="0" fontId="3" fillId="0" borderId="17" xfId="0" applyFont="1" applyBorder="1" applyAlignment="1">
      <alignment vertical="center" wrapText="1"/>
    </xf>
    <xf numFmtId="0" fontId="3" fillId="15" borderId="4" xfId="0" quotePrefix="1" applyFont="1" applyFill="1" applyBorder="1" applyAlignment="1">
      <alignment horizontal="center" vertical="center"/>
    </xf>
    <xf numFmtId="42" fontId="3" fillId="15" borderId="4" xfId="0" applyNumberFormat="1" applyFont="1" applyFill="1" applyBorder="1" applyAlignment="1">
      <alignment horizontal="center" vertical="center"/>
    </xf>
    <xf numFmtId="42" fontId="11" fillId="0" borderId="42" xfId="0" applyNumberFormat="1" applyFont="1" applyFill="1" applyBorder="1" applyAlignment="1">
      <alignment horizontal="center" vertical="center"/>
    </xf>
    <xf numFmtId="42" fontId="11" fillId="0" borderId="65" xfId="0" applyNumberFormat="1" applyFont="1" applyFill="1" applyBorder="1" applyAlignment="1">
      <alignment horizontal="center" vertical="center"/>
    </xf>
    <xf numFmtId="42" fontId="11" fillId="16" borderId="43" xfId="0" applyNumberFormat="1" applyFont="1" applyFill="1" applyBorder="1" applyAlignment="1">
      <alignment horizontal="center" vertical="center" wrapText="1"/>
    </xf>
    <xf numFmtId="42" fontId="11" fillId="0" borderId="18" xfId="0" applyNumberFormat="1" applyFont="1" applyBorder="1" applyAlignment="1">
      <alignment horizontal="center" vertical="center" wrapText="1"/>
    </xf>
    <xf numFmtId="42" fontId="37" fillId="15" borderId="5" xfId="0" applyNumberFormat="1" applyFont="1" applyFill="1" applyBorder="1" applyAlignment="1">
      <alignment horizontal="center" vertical="center"/>
    </xf>
    <xf numFmtId="0" fontId="45" fillId="9" borderId="17" xfId="0" applyFont="1" applyFill="1" applyBorder="1" applyAlignment="1">
      <alignment horizontal="right" vertical="center" wrapText="1"/>
    </xf>
    <xf numFmtId="175" fontId="0" fillId="0" borderId="34" xfId="0" applyNumberFormat="1" applyFont="1" applyBorder="1" applyAlignment="1">
      <alignment horizontal="center"/>
    </xf>
    <xf numFmtId="0" fontId="19" fillId="0" borderId="72" xfId="0" applyFont="1" applyBorder="1" applyAlignment="1">
      <alignment horizontal="left" vertical="center" wrapText="1"/>
    </xf>
    <xf numFmtId="0" fontId="3" fillId="0" borderId="67" xfId="0" applyFont="1" applyBorder="1" applyAlignment="1">
      <alignment horizontal="center" vertical="center"/>
    </xf>
    <xf numFmtId="42" fontId="3" fillId="0" borderId="59" xfId="0" applyNumberFormat="1" applyFont="1" applyBorder="1" applyAlignment="1">
      <alignment horizontal="center" vertical="center"/>
    </xf>
    <xf numFmtId="42" fontId="37" fillId="0" borderId="67" xfId="0" applyNumberFormat="1" applyFont="1" applyFill="1" applyBorder="1" applyAlignment="1">
      <alignment horizontal="center" vertical="center"/>
    </xf>
    <xf numFmtId="42" fontId="37" fillId="0" borderId="63" xfId="0" applyNumberFormat="1" applyFont="1" applyFill="1" applyBorder="1" applyAlignment="1">
      <alignment horizontal="center" vertical="center"/>
    </xf>
    <xf numFmtId="0" fontId="9" fillId="0" borderId="29" xfId="0" applyFont="1" applyBorder="1" applyAlignment="1">
      <alignment horizontal="left" vertical="center" wrapText="1"/>
    </xf>
    <xf numFmtId="0" fontId="9" fillId="0" borderId="28" xfId="0" applyFont="1" applyBorder="1" applyAlignment="1">
      <alignment horizontal="left" vertical="center" wrapText="1"/>
    </xf>
    <xf numFmtId="0" fontId="9" fillId="15" borderId="69" xfId="0" applyFont="1" applyFill="1" applyBorder="1" applyAlignment="1">
      <alignment horizontal="center" vertical="center" wrapText="1"/>
    </xf>
    <xf numFmtId="0" fontId="9" fillId="15" borderId="30" xfId="0" applyFont="1" applyFill="1" applyBorder="1" applyAlignment="1">
      <alignment horizontal="center" vertical="center" wrapText="1"/>
    </xf>
    <xf numFmtId="42" fontId="3" fillId="3" borderId="3" xfId="0" applyNumberFormat="1" applyFont="1" applyFill="1" applyBorder="1" applyAlignment="1">
      <alignment horizontal="center" vertical="center"/>
    </xf>
    <xf numFmtId="42" fontId="14" fillId="0" borderId="33" xfId="0" applyNumberFormat="1" applyFont="1" applyFill="1" applyBorder="1" applyAlignment="1">
      <alignment horizontal="center" vertical="center"/>
    </xf>
    <xf numFmtId="42" fontId="14" fillId="0" borderId="11" xfId="0" applyNumberFormat="1" applyFont="1" applyBorder="1" applyAlignment="1">
      <alignment vertical="center"/>
    </xf>
    <xf numFmtId="42" fontId="14" fillId="0" borderId="11" xfId="0" applyNumberFormat="1" applyFont="1" applyBorder="1" applyAlignment="1">
      <alignment vertical="center" wrapText="1"/>
    </xf>
    <xf numFmtId="42" fontId="14" fillId="0" borderId="1" xfId="0" applyNumberFormat="1" applyFont="1" applyBorder="1" applyAlignment="1">
      <alignment vertical="center"/>
    </xf>
    <xf numFmtId="42" fontId="14" fillId="0" borderId="1" xfId="0" applyNumberFormat="1" applyFont="1" applyBorder="1" applyAlignment="1">
      <alignment vertical="center" wrapText="1"/>
    </xf>
    <xf numFmtId="42" fontId="14" fillId="0" borderId="20" xfId="0" applyNumberFormat="1" applyFont="1" applyBorder="1" applyAlignment="1">
      <alignment vertical="center" wrapText="1"/>
    </xf>
    <xf numFmtId="42" fontId="3" fillId="3" borderId="59" xfId="0" applyNumberFormat="1" applyFont="1" applyFill="1" applyBorder="1" applyAlignment="1">
      <alignment horizontal="center" vertical="center"/>
    </xf>
    <xf numFmtId="42" fontId="3" fillId="0" borderId="0" xfId="0" applyNumberFormat="1" applyFont="1" applyFill="1" applyBorder="1" applyAlignment="1">
      <alignment horizontal="center" vertical="center"/>
    </xf>
    <xf numFmtId="42" fontId="14" fillId="0" borderId="11" xfId="0" applyNumberFormat="1" applyFont="1" applyFill="1" applyBorder="1" applyAlignment="1">
      <alignment horizontal="center" vertical="center"/>
    </xf>
    <xf numFmtId="42" fontId="14" fillId="0" borderId="1" xfId="0" applyNumberFormat="1" applyFont="1" applyFill="1" applyBorder="1" applyAlignment="1">
      <alignment horizontal="center" vertical="center"/>
    </xf>
    <xf numFmtId="42" fontId="14" fillId="0" borderId="1" xfId="0" applyNumberFormat="1" applyFont="1" applyFill="1" applyBorder="1" applyAlignment="1">
      <alignment horizontal="center" vertical="center" wrapText="1"/>
    </xf>
    <xf numFmtId="42" fontId="14" fillId="0" borderId="20" xfId="0" applyNumberFormat="1" applyFont="1" applyFill="1" applyBorder="1" applyAlignment="1">
      <alignment horizontal="center" vertical="center"/>
    </xf>
    <xf numFmtId="42" fontId="14" fillId="0" borderId="20" xfId="0" applyNumberFormat="1" applyFont="1" applyFill="1" applyBorder="1" applyAlignment="1">
      <alignment horizontal="center" vertical="center" wrapText="1"/>
    </xf>
    <xf numFmtId="0" fontId="15" fillId="8" borderId="3" xfId="0" applyFont="1" applyFill="1" applyBorder="1" applyAlignment="1">
      <alignment vertical="center"/>
    </xf>
    <xf numFmtId="44" fontId="15" fillId="2" borderId="23" xfId="0" applyNumberFormat="1" applyFont="1" applyFill="1" applyBorder="1" applyAlignment="1">
      <alignment horizontal="center" vertical="center" wrapText="1"/>
    </xf>
    <xf numFmtId="0" fontId="3" fillId="2" borderId="48" xfId="0" applyFont="1" applyFill="1" applyBorder="1" applyAlignment="1">
      <alignment horizontal="center" vertical="center"/>
    </xf>
    <xf numFmtId="0" fontId="0" fillId="0" borderId="0" xfId="0" applyAlignment="1">
      <alignment vertical="center"/>
    </xf>
    <xf numFmtId="0" fontId="0" fillId="0" borderId="0" xfId="0" applyFill="1" applyBorder="1" applyAlignment="1">
      <alignment vertical="center"/>
    </xf>
    <xf numFmtId="0" fontId="0" fillId="0" borderId="0" xfId="0" applyAlignment="1">
      <alignment vertical="center"/>
    </xf>
    <xf numFmtId="0" fontId="3" fillId="2" borderId="22" xfId="0" applyFont="1" applyFill="1" applyBorder="1" applyAlignment="1">
      <alignment horizontal="center" vertical="center"/>
    </xf>
    <xf numFmtId="175" fontId="0" fillId="0" borderId="17" xfId="0" applyNumberFormat="1" applyBorder="1" applyAlignment="1">
      <alignment horizontal="center"/>
    </xf>
    <xf numFmtId="175" fontId="3" fillId="2" borderId="3" xfId="0" applyNumberFormat="1" applyFont="1" applyFill="1" applyBorder="1" applyAlignment="1">
      <alignment horizontal="center"/>
    </xf>
    <xf numFmtId="42" fontId="9" fillId="16" borderId="1" xfId="0" applyNumberFormat="1" applyFont="1" applyFill="1" applyBorder="1" applyAlignment="1">
      <alignment horizontal="center"/>
    </xf>
    <xf numFmtId="175" fontId="41" fillId="23" borderId="19" xfId="0" applyNumberFormat="1" applyFont="1" applyFill="1" applyBorder="1" applyAlignment="1">
      <alignment horizontal="left"/>
    </xf>
    <xf numFmtId="175" fontId="3" fillId="2" borderId="70" xfId="0" applyNumberFormat="1" applyFont="1" applyFill="1" applyBorder="1" applyAlignment="1">
      <alignment horizontal="center"/>
    </xf>
    <xf numFmtId="1" fontId="0" fillId="0" borderId="7" xfId="0" applyNumberFormat="1" applyFont="1" applyBorder="1" applyAlignment="1">
      <alignment horizontal="center"/>
    </xf>
    <xf numFmtId="1" fontId="0" fillId="0" borderId="7" xfId="0" applyNumberFormat="1" applyBorder="1" applyAlignment="1">
      <alignment horizontal="center"/>
    </xf>
    <xf numFmtId="1" fontId="0" fillId="0" borderId="68" xfId="0" applyNumberFormat="1" applyBorder="1" applyAlignment="1">
      <alignment horizontal="center"/>
    </xf>
    <xf numFmtId="9" fontId="3" fillId="12" borderId="31" xfId="0" applyNumberFormat="1" applyFont="1" applyFill="1" applyBorder="1" applyAlignment="1">
      <alignment horizontal="center" vertical="center"/>
    </xf>
    <xf numFmtId="9" fontId="3" fillId="12" borderId="32" xfId="0" applyNumberFormat="1" applyFont="1" applyFill="1" applyBorder="1" applyAlignment="1">
      <alignment horizontal="center" vertical="center"/>
    </xf>
    <xf numFmtId="42" fontId="3" fillId="12" borderId="9" xfId="0" applyNumberFormat="1" applyFont="1" applyFill="1" applyBorder="1" applyAlignment="1">
      <alignment vertical="center"/>
    </xf>
    <xf numFmtId="42" fontId="3" fillId="12" borderId="26" xfId="0" applyNumberFormat="1" applyFont="1" applyFill="1" applyBorder="1" applyAlignment="1">
      <alignment vertical="center"/>
    </xf>
    <xf numFmtId="0" fontId="0" fillId="0" borderId="57" xfId="0" applyFont="1" applyBorder="1" applyAlignment="1">
      <alignment horizontal="left" vertical="center"/>
    </xf>
    <xf numFmtId="0" fontId="54" fillId="0" borderId="54" xfId="0" applyFont="1" applyBorder="1" applyAlignment="1">
      <alignment horizontal="left" vertical="center"/>
    </xf>
    <xf numFmtId="0" fontId="66" fillId="0" borderId="0" xfId="2" applyFont="1"/>
    <xf numFmtId="0" fontId="19" fillId="0" borderId="0" xfId="0" applyFont="1" applyFill="1" applyAlignment="1">
      <alignment horizontal="left" vertical="center"/>
    </xf>
    <xf numFmtId="44" fontId="14" fillId="0" borderId="76" xfId="0" applyNumberFormat="1" applyFont="1" applyBorder="1" applyAlignment="1">
      <alignment vertical="center"/>
    </xf>
    <xf numFmtId="44" fontId="14" fillId="0" borderId="3" xfId="0" applyNumberFormat="1" applyFont="1" applyFill="1" applyBorder="1" applyAlignment="1">
      <alignment horizontal="center" vertical="center"/>
    </xf>
    <xf numFmtId="44" fontId="49" fillId="18" borderId="9" xfId="0" applyNumberFormat="1" applyFont="1" applyFill="1" applyBorder="1" applyAlignment="1">
      <alignment horizontal="center" vertical="center"/>
    </xf>
    <xf numFmtId="44" fontId="49" fillId="18" borderId="4" xfId="0" applyNumberFormat="1" applyFont="1" applyFill="1" applyBorder="1" applyAlignment="1">
      <alignment horizontal="center" vertical="center"/>
    </xf>
    <xf numFmtId="44" fontId="3" fillId="12" borderId="4" xfId="0" applyNumberFormat="1" applyFont="1" applyFill="1" applyBorder="1" applyAlignment="1">
      <alignment horizontal="center" vertical="center"/>
    </xf>
    <xf numFmtId="0" fontId="2" fillId="0" borderId="0" xfId="0" applyFont="1" applyFill="1" applyBorder="1" applyAlignment="1">
      <alignment vertical="center"/>
    </xf>
    <xf numFmtId="0" fontId="0" fillId="0" borderId="71" xfId="0" applyFont="1" applyFill="1" applyBorder="1" applyAlignment="1">
      <alignment vertical="center" wrapText="1"/>
    </xf>
    <xf numFmtId="44" fontId="3" fillId="3" borderId="71" xfId="0" applyNumberFormat="1" applyFont="1" applyFill="1" applyBorder="1" applyAlignment="1">
      <alignment vertical="center"/>
    </xf>
    <xf numFmtId="44" fontId="3" fillId="12" borderId="41" xfId="0" applyNumberFormat="1" applyFont="1" applyFill="1" applyBorder="1" applyAlignment="1">
      <alignment horizontal="center" vertical="center"/>
    </xf>
    <xf numFmtId="44" fontId="3" fillId="12" borderId="53" xfId="0" applyNumberFormat="1" applyFont="1" applyFill="1" applyBorder="1" applyAlignment="1">
      <alignment vertical="center"/>
    </xf>
    <xf numFmtId="44" fontId="3" fillId="12" borderId="54" xfId="0" applyNumberFormat="1" applyFont="1" applyFill="1" applyBorder="1" applyAlignment="1">
      <alignment vertical="center"/>
    </xf>
    <xf numFmtId="44" fontId="3" fillId="12" borderId="57" xfId="0" applyNumberFormat="1" applyFont="1" applyFill="1" applyBorder="1" applyAlignment="1">
      <alignment vertical="center"/>
    </xf>
    <xf numFmtId="44" fontId="3" fillId="3" borderId="15" xfId="0" applyNumberFormat="1" applyFont="1" applyFill="1" applyBorder="1" applyAlignment="1">
      <alignment vertical="center"/>
    </xf>
    <xf numFmtId="44" fontId="3" fillId="3" borderId="9" xfId="0" applyNumberFormat="1" applyFont="1" applyFill="1" applyBorder="1" applyAlignment="1">
      <alignment vertical="center"/>
    </xf>
    <xf numFmtId="44" fontId="0" fillId="3" borderId="16" xfId="0" applyNumberFormat="1" applyFill="1" applyBorder="1" applyAlignment="1">
      <alignment vertical="center"/>
    </xf>
    <xf numFmtId="44" fontId="0" fillId="3" borderId="15" xfId="0" applyNumberFormat="1" applyFill="1" applyBorder="1" applyAlignment="1">
      <alignment vertical="center"/>
    </xf>
    <xf numFmtId="0" fontId="0" fillId="0" borderId="10" xfId="0" applyBorder="1" applyAlignment="1">
      <alignment vertical="center"/>
    </xf>
    <xf numFmtId="0" fontId="0" fillId="0" borderId="79" xfId="0" applyBorder="1" applyAlignment="1">
      <alignment vertical="center"/>
    </xf>
    <xf numFmtId="44" fontId="49" fillId="18" borderId="36" xfId="0" applyNumberFormat="1" applyFont="1" applyFill="1" applyBorder="1" applyAlignment="1">
      <alignment horizontal="center" vertical="center"/>
    </xf>
    <xf numFmtId="44" fontId="49" fillId="18" borderId="10" xfId="0" applyNumberFormat="1" applyFont="1" applyFill="1" applyBorder="1" applyAlignment="1">
      <alignment horizontal="center" vertical="center"/>
    </xf>
    <xf numFmtId="0" fontId="28" fillId="22" borderId="0" xfId="0" applyFont="1" applyFill="1" applyBorder="1" applyAlignment="1">
      <alignment vertical="center" wrapText="1"/>
    </xf>
    <xf numFmtId="0" fontId="0" fillId="0" borderId="13" xfId="0" applyFont="1" applyBorder="1"/>
    <xf numFmtId="0" fontId="3" fillId="2" borderId="40" xfId="0" applyFont="1" applyFill="1" applyBorder="1"/>
    <xf numFmtId="0" fontId="0" fillId="0" borderId="41" xfId="0" applyBorder="1"/>
    <xf numFmtId="0" fontId="0" fillId="0" borderId="37" xfId="0" applyBorder="1"/>
    <xf numFmtId="0" fontId="0" fillId="0" borderId="39" xfId="0" applyBorder="1"/>
    <xf numFmtId="175" fontId="0" fillId="0" borderId="15" xfId="0" applyNumberFormat="1" applyBorder="1" applyAlignment="1">
      <alignment horizontal="center"/>
    </xf>
    <xf numFmtId="175" fontId="0" fillId="0" borderId="9" xfId="0" applyNumberFormat="1" applyBorder="1" applyAlignment="1">
      <alignment horizontal="center"/>
    </xf>
    <xf numFmtId="175" fontId="0" fillId="0" borderId="26" xfId="0" applyNumberFormat="1" applyBorder="1" applyAlignment="1">
      <alignment horizontal="center"/>
    </xf>
    <xf numFmtId="0" fontId="0" fillId="0" borderId="48" xfId="0" applyBorder="1" applyAlignment="1">
      <alignment horizontal="center" vertical="center"/>
    </xf>
    <xf numFmtId="0" fontId="3" fillId="2" borderId="3" xfId="0" applyFont="1" applyFill="1" applyBorder="1" applyAlignment="1">
      <alignment horizontal="right" vertical="center" wrapText="1"/>
    </xf>
    <xf numFmtId="0" fontId="0" fillId="0" borderId="76" xfId="0" quotePrefix="1" applyBorder="1" applyAlignment="1">
      <alignment vertical="top" wrapText="1"/>
    </xf>
    <xf numFmtId="0" fontId="0" fillId="0" borderId="10" xfId="0" applyFill="1" applyBorder="1" applyAlignment="1">
      <alignment horizontal="center" vertical="center"/>
    </xf>
    <xf numFmtId="44" fontId="3" fillId="3" borderId="24" xfId="0" applyNumberFormat="1" applyFont="1" applyFill="1" applyBorder="1" applyAlignment="1">
      <alignment vertical="center"/>
    </xf>
    <xf numFmtId="0" fontId="28" fillId="0" borderId="0" xfId="0" applyFont="1" applyAlignment="1">
      <alignment horizontal="left" vertical="center" wrapText="1"/>
    </xf>
    <xf numFmtId="0" fontId="28" fillId="0" borderId="6" xfId="0" applyFont="1" applyFill="1" applyBorder="1" applyAlignment="1">
      <alignment horizontal="left" vertical="center" wrapText="1"/>
    </xf>
    <xf numFmtId="0" fontId="9" fillId="16" borderId="11" xfId="0" applyFont="1" applyFill="1" applyBorder="1" applyAlignment="1">
      <alignment horizontal="left" vertical="center" wrapText="1"/>
    </xf>
    <xf numFmtId="0" fontId="9" fillId="16" borderId="20" xfId="0" applyFont="1" applyFill="1" applyBorder="1" applyAlignment="1">
      <alignment horizontal="left" vertical="center" wrapText="1"/>
    </xf>
    <xf numFmtId="0" fontId="3" fillId="0" borderId="59" xfId="0" applyFont="1" applyFill="1" applyBorder="1" applyAlignment="1">
      <alignment horizontal="center" vertical="center"/>
    </xf>
    <xf numFmtId="0" fontId="0" fillId="0" borderId="25" xfId="0" applyFont="1" applyFill="1" applyBorder="1" applyAlignment="1">
      <alignment horizontal="right" vertical="center" wrapText="1"/>
    </xf>
    <xf numFmtId="0" fontId="3" fillId="0" borderId="67" xfId="0" applyFont="1" applyFill="1" applyBorder="1" applyAlignment="1">
      <alignment horizontal="center" vertical="center"/>
    </xf>
    <xf numFmtId="42" fontId="3" fillId="0" borderId="59" xfId="0" applyNumberFormat="1" applyFont="1" applyFill="1" applyBorder="1" applyAlignment="1">
      <alignment horizontal="center" vertical="center"/>
    </xf>
    <xf numFmtId="0" fontId="9" fillId="0" borderId="29" xfId="0" applyFont="1" applyFill="1" applyBorder="1" applyAlignment="1">
      <alignment horizontal="center" vertical="center" wrapText="1"/>
    </xf>
    <xf numFmtId="0" fontId="3" fillId="0" borderId="36" xfId="0" applyFont="1" applyFill="1" applyBorder="1" applyAlignment="1">
      <alignment horizontal="center" vertical="center"/>
    </xf>
    <xf numFmtId="0" fontId="0" fillId="0" borderId="4" xfId="0" applyFont="1" applyFill="1" applyBorder="1" applyAlignment="1">
      <alignment horizontal="right" vertical="center" wrapText="1"/>
    </xf>
    <xf numFmtId="0" fontId="3" fillId="0" borderId="40" xfId="0" quotePrefix="1" applyFont="1" applyBorder="1" applyAlignment="1">
      <alignment horizontal="center" vertical="center"/>
    </xf>
    <xf numFmtId="42" fontId="37" fillId="0" borderId="40" xfId="0" applyNumberFormat="1" applyFont="1" applyFill="1" applyBorder="1" applyAlignment="1">
      <alignment horizontal="center" vertical="center"/>
    </xf>
    <xf numFmtId="42" fontId="37" fillId="0" borderId="5" xfId="0" applyNumberFormat="1" applyFont="1" applyFill="1" applyBorder="1" applyAlignment="1">
      <alignment horizontal="center" vertical="center"/>
    </xf>
    <xf numFmtId="0" fontId="9" fillId="0" borderId="28" xfId="0" applyFont="1" applyFill="1" applyBorder="1" applyAlignment="1">
      <alignment horizontal="center" vertical="center" wrapText="1"/>
    </xf>
    <xf numFmtId="42" fontId="9" fillId="3" borderId="48" xfId="0" applyNumberFormat="1" applyFont="1" applyFill="1" applyBorder="1"/>
    <xf numFmtId="42" fontId="0" fillId="16" borderId="8" xfId="0" applyNumberFormat="1" applyFont="1" applyFill="1" applyBorder="1"/>
    <xf numFmtId="174" fontId="0" fillId="16" borderId="26" xfId="0" applyNumberFormat="1" applyFont="1" applyFill="1" applyBorder="1"/>
    <xf numFmtId="6" fontId="0" fillId="16" borderId="15" xfId="0" applyNumberFormat="1" applyFont="1" applyFill="1" applyBorder="1"/>
    <xf numFmtId="42" fontId="0" fillId="16" borderId="56" xfId="0" applyNumberFormat="1" applyFont="1" applyFill="1" applyBorder="1"/>
    <xf numFmtId="42" fontId="0" fillId="16" borderId="55" xfId="0" applyNumberFormat="1" applyFont="1" applyFill="1" applyBorder="1"/>
    <xf numFmtId="0" fontId="0" fillId="16" borderId="15" xfId="0" applyFont="1" applyFill="1" applyBorder="1" applyAlignment="1">
      <alignment horizontal="center"/>
    </xf>
    <xf numFmtId="42" fontId="0" fillId="16" borderId="31" xfId="0" applyNumberFormat="1" applyFont="1" applyFill="1" applyBorder="1"/>
    <xf numFmtId="0" fontId="0" fillId="16" borderId="9" xfId="0" applyFont="1" applyFill="1" applyBorder="1" applyAlignment="1">
      <alignment horizontal="center"/>
    </xf>
    <xf numFmtId="42" fontId="0" fillId="16" borderId="58" xfId="0" applyNumberFormat="1" applyFont="1" applyFill="1" applyBorder="1"/>
    <xf numFmtId="0" fontId="0" fillId="16" borderId="26" xfId="0" applyFont="1" applyFill="1" applyBorder="1" applyAlignment="1">
      <alignment horizontal="center"/>
    </xf>
    <xf numFmtId="42" fontId="0" fillId="16" borderId="32" xfId="0" applyNumberFormat="1" applyFont="1" applyFill="1" applyBorder="1"/>
    <xf numFmtId="0" fontId="0" fillId="16" borderId="69" xfId="0" applyFont="1" applyFill="1" applyBorder="1" applyAlignment="1">
      <alignment horizontal="center"/>
    </xf>
    <xf numFmtId="0" fontId="0" fillId="16" borderId="58" xfId="0" applyFont="1" applyFill="1" applyBorder="1" applyAlignment="1">
      <alignment horizontal="center"/>
    </xf>
    <xf numFmtId="0" fontId="0" fillId="16" borderId="10" xfId="0" applyFont="1" applyFill="1" applyBorder="1" applyAlignment="1">
      <alignment horizontal="center"/>
    </xf>
    <xf numFmtId="0" fontId="0" fillId="16" borderId="72" xfId="0" applyFont="1" applyFill="1" applyBorder="1" applyAlignment="1">
      <alignment horizontal="center"/>
    </xf>
    <xf numFmtId="6" fontId="0" fillId="16" borderId="10" xfId="0" applyNumberFormat="1" applyFont="1" applyFill="1" applyBorder="1"/>
    <xf numFmtId="0" fontId="5" fillId="0" borderId="0" xfId="0" applyFont="1"/>
    <xf numFmtId="0" fontId="0" fillId="11" borderId="23" xfId="0" applyFont="1" applyFill="1" applyBorder="1"/>
    <xf numFmtId="9" fontId="0" fillId="0" borderId="3" xfId="0" applyNumberFormat="1" applyFont="1" applyBorder="1" applyAlignment="1">
      <alignment horizontal="center"/>
    </xf>
    <xf numFmtId="0" fontId="15" fillId="2" borderId="48" xfId="0" applyFont="1" applyFill="1" applyBorder="1" applyAlignment="1">
      <alignment horizontal="center" vertical="center" wrapText="1"/>
    </xf>
    <xf numFmtId="0" fontId="14" fillId="0" borderId="53"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6" xfId="0" applyFont="1" applyBorder="1" applyAlignment="1">
      <alignment horizontal="center" vertical="center" wrapText="1"/>
    </xf>
    <xf numFmtId="0" fontId="14" fillId="2" borderId="48" xfId="0" applyFont="1" applyFill="1" applyBorder="1" applyAlignment="1">
      <alignment horizontal="center" vertical="center" wrapText="1"/>
    </xf>
    <xf numFmtId="0" fontId="0" fillId="0" borderId="53" xfId="0" applyFont="1" applyBorder="1" applyAlignment="1">
      <alignment horizontal="center"/>
    </xf>
    <xf numFmtId="0" fontId="3" fillId="2" borderId="36" xfId="0" applyFont="1" applyFill="1" applyBorder="1" applyAlignment="1">
      <alignment horizontal="center" vertical="center" wrapText="1"/>
    </xf>
    <xf numFmtId="44" fontId="0" fillId="16" borderId="34" xfId="0" applyNumberFormat="1" applyFont="1" applyFill="1" applyBorder="1" applyAlignment="1">
      <alignment vertical="center"/>
    </xf>
    <xf numFmtId="44" fontId="0" fillId="16" borderId="35" xfId="0" applyNumberFormat="1" applyFont="1" applyFill="1" applyBorder="1" applyAlignment="1">
      <alignment vertical="center"/>
    </xf>
    <xf numFmtId="44" fontId="0" fillId="16" borderId="34" xfId="0" applyNumberFormat="1" applyFont="1" applyFill="1" applyBorder="1" applyAlignment="1">
      <alignment horizontal="center" vertical="center"/>
    </xf>
    <xf numFmtId="44" fontId="0" fillId="16" borderId="35" xfId="0" applyNumberFormat="1" applyFont="1" applyFill="1" applyBorder="1" applyAlignment="1">
      <alignment horizontal="center" vertical="center"/>
    </xf>
    <xf numFmtId="0" fontId="0" fillId="0" borderId="21" xfId="0" applyFont="1" applyBorder="1"/>
    <xf numFmtId="0" fontId="0" fillId="8" borderId="1" xfId="0" applyFont="1" applyFill="1" applyBorder="1" applyAlignment="1">
      <alignment vertical="center" wrapText="1"/>
    </xf>
    <xf numFmtId="6" fontId="9" fillId="0" borderId="0" xfId="1" applyNumberFormat="1" applyFont="1" applyAlignment="1">
      <alignment vertical="top" wrapText="1"/>
    </xf>
    <xf numFmtId="42" fontId="37" fillId="0" borderId="69" xfId="0" applyNumberFormat="1" applyFont="1" applyFill="1" applyBorder="1" applyAlignment="1">
      <alignment horizontal="center" vertical="center"/>
    </xf>
    <xf numFmtId="42" fontId="11" fillId="16" borderId="34" xfId="0" applyNumberFormat="1" applyFont="1" applyFill="1" applyBorder="1" applyAlignment="1">
      <alignment horizontal="center" vertical="center" wrapText="1"/>
    </xf>
    <xf numFmtId="0" fontId="56" fillId="0" borderId="0" xfId="0" applyFont="1" applyFill="1" applyBorder="1" applyAlignment="1">
      <alignment horizontal="center" vertical="center"/>
    </xf>
    <xf numFmtId="0" fontId="57" fillId="0" borderId="0" xfId="0" applyFont="1" applyFill="1" applyBorder="1" applyAlignment="1">
      <alignment vertical="center"/>
    </xf>
    <xf numFmtId="170" fontId="3" fillId="12" borderId="10" xfId="0" applyNumberFormat="1" applyFont="1" applyFill="1" applyBorder="1" applyAlignment="1">
      <alignment horizontal="center" vertical="center"/>
    </xf>
    <xf numFmtId="42" fontId="3" fillId="16" borderId="3" xfId="0" applyNumberFormat="1" applyFont="1" applyFill="1" applyBorder="1" applyAlignment="1">
      <alignment horizontal="center" vertical="center"/>
    </xf>
    <xf numFmtId="6" fontId="11" fillId="0" borderId="0" xfId="1" applyNumberFormat="1" applyFont="1" applyAlignment="1">
      <alignment horizontal="left" vertical="top"/>
    </xf>
    <xf numFmtId="0" fontId="0" fillId="10" borderId="45" xfId="0" applyFont="1" applyFill="1" applyBorder="1" applyAlignment="1">
      <alignment horizontal="center"/>
    </xf>
    <xf numFmtId="0" fontId="0" fillId="10" borderId="46" xfId="0" applyFont="1" applyFill="1" applyBorder="1" applyAlignment="1">
      <alignment horizontal="center"/>
    </xf>
    <xf numFmtId="0" fontId="0" fillId="10" borderId="47" xfId="0" applyFont="1" applyFill="1" applyBorder="1" applyAlignment="1">
      <alignment horizontal="center"/>
    </xf>
    <xf numFmtId="42" fontId="3" fillId="3" borderId="8" xfId="0" applyNumberFormat="1" applyFont="1" applyFill="1" applyBorder="1" applyAlignment="1">
      <alignment horizontal="center"/>
    </xf>
    <xf numFmtId="42" fontId="3" fillId="3" borderId="9" xfId="0" applyNumberFormat="1" applyFont="1" applyFill="1" applyBorder="1" applyAlignment="1">
      <alignment horizontal="center"/>
    </xf>
    <xf numFmtId="42" fontId="3" fillId="3" borderId="26" xfId="0" applyNumberFormat="1" applyFont="1" applyFill="1" applyBorder="1" applyAlignment="1">
      <alignment horizontal="center"/>
    </xf>
    <xf numFmtId="42" fontId="3" fillId="3" borderId="24" xfId="0" applyNumberFormat="1" applyFont="1" applyFill="1" applyBorder="1" applyAlignment="1">
      <alignment horizontal="center"/>
    </xf>
    <xf numFmtId="0" fontId="3" fillId="2" borderId="66" xfId="0" applyFont="1" applyFill="1" applyBorder="1" applyAlignment="1">
      <alignment horizontal="center"/>
    </xf>
    <xf numFmtId="0" fontId="0" fillId="10" borderId="38" xfId="0" applyFont="1" applyFill="1" applyBorder="1" applyAlignment="1">
      <alignment horizontal="center"/>
    </xf>
    <xf numFmtId="0" fontId="0" fillId="10" borderId="37" xfId="0" applyFont="1" applyFill="1" applyBorder="1" applyAlignment="1">
      <alignment horizontal="center"/>
    </xf>
    <xf numFmtId="0" fontId="0" fillId="10" borderId="39" xfId="0" applyFont="1" applyFill="1" applyBorder="1" applyAlignment="1">
      <alignment horizontal="center"/>
    </xf>
    <xf numFmtId="0" fontId="3" fillId="3" borderId="67" xfId="0" applyFont="1" applyFill="1" applyBorder="1" applyAlignment="1">
      <alignment horizontal="center"/>
    </xf>
    <xf numFmtId="42" fontId="0" fillId="10" borderId="33" xfId="0" applyNumberFormat="1" applyFont="1" applyFill="1" applyBorder="1" applyAlignment="1">
      <alignment horizontal="center"/>
    </xf>
    <xf numFmtId="42" fontId="0" fillId="10" borderId="12" xfId="0" applyNumberFormat="1" applyFont="1" applyFill="1" applyBorder="1" applyAlignment="1">
      <alignment horizontal="center"/>
    </xf>
    <xf numFmtId="42" fontId="0" fillId="10" borderId="34" xfId="0" applyNumberFormat="1" applyFont="1" applyFill="1" applyBorder="1" applyAlignment="1">
      <alignment horizontal="center"/>
    </xf>
    <xf numFmtId="42" fontId="0" fillId="10" borderId="13" xfId="0" applyNumberFormat="1" applyFont="1" applyFill="1" applyBorder="1" applyAlignment="1">
      <alignment horizontal="center"/>
    </xf>
    <xf numFmtId="42" fontId="0" fillId="10" borderId="35" xfId="0" applyNumberFormat="1" applyFont="1" applyFill="1" applyBorder="1" applyAlignment="1">
      <alignment horizontal="center"/>
    </xf>
    <xf numFmtId="42" fontId="0" fillId="10" borderId="21" xfId="0" applyNumberFormat="1" applyFont="1" applyFill="1" applyBorder="1" applyAlignment="1">
      <alignment horizontal="center"/>
    </xf>
    <xf numFmtId="42" fontId="3" fillId="3" borderId="59" xfId="0" applyNumberFormat="1" applyFont="1" applyFill="1" applyBorder="1" applyAlignment="1">
      <alignment horizontal="center"/>
    </xf>
    <xf numFmtId="42" fontId="3" fillId="3" borderId="63" xfId="0" applyNumberFormat="1" applyFont="1" applyFill="1" applyBorder="1" applyAlignment="1">
      <alignment horizontal="center"/>
    </xf>
    <xf numFmtId="0" fontId="0" fillId="0" borderId="0" xfId="0" applyAlignment="1">
      <alignment vertical="center"/>
    </xf>
    <xf numFmtId="0" fontId="3" fillId="2" borderId="3" xfId="0" applyFont="1" applyFill="1" applyBorder="1" applyAlignment="1">
      <alignment horizontal="right"/>
    </xf>
    <xf numFmtId="175" fontId="45" fillId="16" borderId="29" xfId="0" applyNumberFormat="1" applyFont="1" applyFill="1" applyBorder="1" applyAlignment="1">
      <alignment horizontal="center"/>
    </xf>
    <xf numFmtId="0" fontId="0" fillId="0" borderId="9" xfId="0" applyBorder="1" applyAlignment="1">
      <alignment horizontal="center"/>
    </xf>
    <xf numFmtId="0" fontId="0" fillId="0" borderId="0" xfId="0" applyBorder="1" applyAlignment="1"/>
    <xf numFmtId="0" fontId="69" fillId="0" borderId="0" xfId="0" applyFont="1" applyFill="1" applyBorder="1" applyAlignment="1"/>
    <xf numFmtId="42" fontId="0" fillId="0" borderId="0" xfId="0" applyNumberFormat="1" applyAlignment="1">
      <alignment horizontal="center"/>
    </xf>
    <xf numFmtId="0" fontId="0" fillId="0" borderId="0" xfId="0" applyAlignment="1"/>
    <xf numFmtId="0" fontId="32" fillId="0" borderId="37" xfId="0" applyFont="1" applyFill="1" applyBorder="1" applyAlignment="1">
      <alignment horizontal="center" vertical="center" wrapText="1"/>
    </xf>
    <xf numFmtId="42" fontId="0" fillId="0" borderId="0" xfId="0" applyNumberFormat="1"/>
    <xf numFmtId="42" fontId="0" fillId="16" borderId="8" xfId="0" applyNumberFormat="1" applyFill="1" applyBorder="1" applyAlignment="1">
      <alignment horizontal="center"/>
    </xf>
    <xf numFmtId="0" fontId="0" fillId="0" borderId="0" xfId="0" applyFill="1" applyAlignment="1">
      <alignment horizontal="center"/>
    </xf>
    <xf numFmtId="6" fontId="3" fillId="10" borderId="23" xfId="1" applyNumberFormat="1" applyFont="1" applyFill="1" applyBorder="1" applyAlignment="1">
      <alignment horizontal="center" vertical="top"/>
    </xf>
    <xf numFmtId="0" fontId="0" fillId="0" borderId="49" xfId="0" applyBorder="1" applyAlignment="1">
      <alignment vertical="center" wrapText="1"/>
    </xf>
    <xf numFmtId="44" fontId="3" fillId="12" borderId="23" xfId="0" applyNumberFormat="1" applyFont="1" applyFill="1" applyBorder="1" applyAlignment="1">
      <alignment vertical="center"/>
    </xf>
    <xf numFmtId="44" fontId="3" fillId="3" borderId="23" xfId="0" applyNumberFormat="1" applyFont="1" applyFill="1" applyBorder="1" applyAlignment="1">
      <alignment vertical="center"/>
    </xf>
    <xf numFmtId="0" fontId="0" fillId="0" borderId="36" xfId="0" applyBorder="1" applyAlignment="1">
      <alignment vertical="center" wrapText="1"/>
    </xf>
    <xf numFmtId="0" fontId="3" fillId="12" borderId="3" xfId="0" applyFont="1" applyFill="1" applyBorder="1" applyAlignment="1">
      <alignment horizontal="center" vertical="center"/>
    </xf>
    <xf numFmtId="0" fontId="3" fillId="16" borderId="3" xfId="0" applyFont="1" applyFill="1" applyBorder="1" applyAlignment="1">
      <alignment horizontal="center"/>
    </xf>
    <xf numFmtId="44" fontId="0" fillId="16" borderId="11" xfId="0" applyNumberFormat="1" applyFill="1" applyBorder="1"/>
    <xf numFmtId="0" fontId="3" fillId="2" borderId="33" xfId="0" applyFont="1" applyFill="1" applyBorder="1" applyAlignment="1">
      <alignment horizontal="right"/>
    </xf>
    <xf numFmtId="175" fontId="0" fillId="16" borderId="38" xfId="0" applyNumberFormat="1" applyFill="1" applyBorder="1" applyAlignment="1">
      <alignment horizontal="center"/>
    </xf>
    <xf numFmtId="0" fontId="0" fillId="0" borderId="0" xfId="0" quotePrefix="1" applyAlignment="1"/>
    <xf numFmtId="44" fontId="0" fillId="0" borderId="9" xfId="0" applyNumberFormat="1" applyFont="1" applyFill="1" applyBorder="1" applyAlignment="1">
      <alignment vertical="center"/>
    </xf>
    <xf numFmtId="44" fontId="0" fillId="0" borderId="46" xfId="0" applyNumberFormat="1" applyFont="1" applyFill="1" applyBorder="1" applyAlignment="1">
      <alignment vertical="center"/>
    </xf>
    <xf numFmtId="0" fontId="0" fillId="0" borderId="3" xfId="0" applyFont="1" applyBorder="1"/>
    <xf numFmtId="42" fontId="36" fillId="16" borderId="36" xfId="0" applyNumberFormat="1" applyFont="1" applyFill="1" applyBorder="1" applyAlignment="1">
      <alignment horizontal="center" vertical="center"/>
    </xf>
    <xf numFmtId="42" fontId="36" fillId="16" borderId="40" xfId="0" applyNumberFormat="1" applyFont="1" applyFill="1" applyBorder="1" applyAlignment="1">
      <alignment horizontal="center" vertical="center"/>
    </xf>
    <xf numFmtId="42" fontId="36" fillId="16" borderId="5" xfId="0" applyNumberFormat="1" applyFont="1" applyFill="1" applyBorder="1" applyAlignment="1">
      <alignment horizontal="center" vertical="center"/>
    </xf>
    <xf numFmtId="0" fontId="0" fillId="0" borderId="8" xfId="0" applyBorder="1" applyAlignment="1">
      <alignment horizontal="center"/>
    </xf>
    <xf numFmtId="42" fontId="0" fillId="16" borderId="11" xfId="0" applyNumberFormat="1" applyFill="1" applyBorder="1" applyAlignment="1">
      <alignment horizontal="center"/>
    </xf>
    <xf numFmtId="42" fontId="0" fillId="16" borderId="12" xfId="0" applyNumberFormat="1" applyFill="1" applyBorder="1" applyAlignment="1">
      <alignment horizontal="center"/>
    </xf>
    <xf numFmtId="42" fontId="9" fillId="16" borderId="13" xfId="0" applyNumberFormat="1" applyFont="1" applyFill="1" applyBorder="1" applyAlignment="1">
      <alignment horizontal="center"/>
    </xf>
    <xf numFmtId="0" fontId="3" fillId="2" borderId="70" xfId="0" applyFont="1" applyFill="1" applyBorder="1"/>
    <xf numFmtId="0" fontId="0" fillId="16" borderId="16" xfId="0" applyFill="1" applyBorder="1"/>
    <xf numFmtId="0" fontId="0" fillId="16" borderId="7" xfId="0" applyFill="1" applyBorder="1"/>
    <xf numFmtId="0" fontId="0" fillId="16" borderId="68" xfId="0" applyFill="1" applyBorder="1"/>
    <xf numFmtId="42" fontId="3" fillId="15" borderId="3" xfId="0" applyNumberFormat="1" applyFont="1" applyFill="1" applyBorder="1" applyAlignment="1">
      <alignment horizontal="center"/>
    </xf>
    <xf numFmtId="42" fontId="3" fillId="2" borderId="23" xfId="0" applyNumberFormat="1" applyFont="1" applyFill="1" applyBorder="1" applyAlignment="1">
      <alignment horizontal="center"/>
    </xf>
    <xf numFmtId="42" fontId="3" fillId="2" borderId="3" xfId="0" applyNumberFormat="1" applyFont="1" applyFill="1" applyBorder="1" applyAlignment="1">
      <alignment horizontal="center"/>
    </xf>
    <xf numFmtId="42" fontId="3" fillId="16" borderId="8" xfId="0" applyNumberFormat="1" applyFont="1" applyFill="1" applyBorder="1" applyAlignment="1">
      <alignment horizontal="center"/>
    </xf>
    <xf numFmtId="42" fontId="0" fillId="0" borderId="14" xfId="0" applyNumberFormat="1" applyBorder="1" applyAlignment="1">
      <alignment horizontal="center"/>
    </xf>
    <xf numFmtId="42" fontId="3" fillId="16" borderId="3" xfId="0" applyNumberFormat="1" applyFont="1" applyFill="1" applyBorder="1" applyAlignment="1">
      <alignment horizontal="center"/>
    </xf>
    <xf numFmtId="42" fontId="3" fillId="15" borderId="23" xfId="0" applyNumberFormat="1" applyFont="1" applyFill="1" applyBorder="1" applyAlignment="1">
      <alignment horizontal="center"/>
    </xf>
    <xf numFmtId="42" fontId="3" fillId="2" borderId="48" xfId="0" applyNumberFormat="1" applyFont="1" applyFill="1" applyBorder="1" applyAlignment="1">
      <alignment horizontal="center"/>
    </xf>
    <xf numFmtId="42" fontId="3" fillId="3" borderId="3" xfId="0" applyNumberFormat="1" applyFont="1" applyFill="1" applyBorder="1" applyAlignment="1">
      <alignment vertical="center"/>
    </xf>
    <xf numFmtId="42" fontId="5" fillId="0" borderId="42" xfId="0" applyNumberFormat="1" applyFont="1" applyFill="1" applyBorder="1" applyAlignment="1">
      <alignment horizontal="left" vertical="center"/>
    </xf>
    <xf numFmtId="42" fontId="5" fillId="0" borderId="64" xfId="0" applyNumberFormat="1" applyFont="1" applyFill="1" applyBorder="1" applyAlignment="1">
      <alignment horizontal="left" vertical="center"/>
    </xf>
    <xf numFmtId="0" fontId="0" fillId="0" borderId="0" xfId="0" applyAlignment="1">
      <alignment vertical="center"/>
    </xf>
    <xf numFmtId="0" fontId="0" fillId="0" borderId="0" xfId="0" applyAlignment="1"/>
    <xf numFmtId="0" fontId="0" fillId="0" borderId="0" xfId="0" applyAlignment="1"/>
    <xf numFmtId="0" fontId="0" fillId="0" borderId="0" xfId="0" applyBorder="1" applyAlignment="1"/>
    <xf numFmtId="42" fontId="3" fillId="15" borderId="19" xfId="0" applyNumberFormat="1" applyFont="1" applyFill="1" applyBorder="1" applyAlignment="1">
      <alignment horizontal="center" vertical="center"/>
    </xf>
    <xf numFmtId="0" fontId="0" fillId="16" borderId="33" xfId="0" applyFill="1" applyBorder="1" applyAlignment="1">
      <alignment horizontal="center"/>
    </xf>
    <xf numFmtId="0" fontId="0" fillId="16" borderId="34" xfId="0" applyFill="1" applyBorder="1" applyAlignment="1">
      <alignment horizontal="center"/>
    </xf>
    <xf numFmtId="42" fontId="0" fillId="16" borderId="9" xfId="0" applyNumberFormat="1" applyFill="1" applyBorder="1" applyAlignment="1">
      <alignment horizontal="center"/>
    </xf>
    <xf numFmtId="42" fontId="0" fillId="16" borderId="26" xfId="0" applyNumberFormat="1" applyFill="1" applyBorder="1" applyAlignment="1">
      <alignment horizontal="center"/>
    </xf>
    <xf numFmtId="42" fontId="3" fillId="15" borderId="24" xfId="0" applyNumberFormat="1" applyFont="1" applyFill="1" applyBorder="1" applyAlignment="1">
      <alignment horizontal="center"/>
    </xf>
    <xf numFmtId="42" fontId="3" fillId="15" borderId="29" xfId="0" applyNumberFormat="1" applyFont="1" applyFill="1" applyBorder="1" applyAlignment="1">
      <alignment horizontal="center"/>
    </xf>
    <xf numFmtId="42" fontId="0" fillId="16" borderId="15" xfId="0" applyNumberFormat="1" applyFill="1" applyBorder="1" applyAlignment="1">
      <alignment horizontal="center"/>
    </xf>
    <xf numFmtId="0" fontId="3" fillId="16" borderId="8" xfId="0" applyNumberFormat="1" applyFont="1" applyFill="1" applyBorder="1" applyAlignment="1">
      <alignment horizontal="center"/>
    </xf>
    <xf numFmtId="0" fontId="0" fillId="0" borderId="0" xfId="0" applyNumberFormat="1" applyAlignment="1">
      <alignment horizontal="center"/>
    </xf>
    <xf numFmtId="0" fontId="0" fillId="16" borderId="17" xfId="0" applyFill="1" applyBorder="1" applyAlignment="1">
      <alignment horizontal="center"/>
    </xf>
    <xf numFmtId="0" fontId="0" fillId="16" borderId="64" xfId="0" applyFill="1" applyBorder="1" applyAlignment="1">
      <alignment horizontal="center"/>
    </xf>
    <xf numFmtId="0" fontId="0" fillId="15" borderId="36" xfId="0" applyFill="1" applyBorder="1" applyAlignment="1">
      <alignment horizontal="center"/>
    </xf>
    <xf numFmtId="0" fontId="0" fillId="16" borderId="6" xfId="0" applyFill="1" applyBorder="1" applyAlignment="1">
      <alignment horizontal="center"/>
    </xf>
    <xf numFmtId="0" fontId="0" fillId="3" borderId="36" xfId="0" applyFill="1" applyBorder="1" applyAlignment="1">
      <alignment horizontal="center"/>
    </xf>
    <xf numFmtId="42" fontId="0" fillId="16" borderId="10" xfId="0" applyNumberFormat="1" applyFill="1" applyBorder="1" applyAlignment="1">
      <alignment horizontal="center"/>
    </xf>
    <xf numFmtId="42" fontId="3" fillId="3" borderId="28" xfId="0" applyNumberFormat="1" applyFont="1" applyFill="1" applyBorder="1" applyAlignment="1">
      <alignment horizontal="center"/>
    </xf>
    <xf numFmtId="0" fontId="0" fillId="16" borderId="43" xfId="0" applyFill="1" applyBorder="1" applyAlignment="1">
      <alignment horizontal="center"/>
    </xf>
    <xf numFmtId="42" fontId="3" fillId="3" borderId="5" xfId="0" applyNumberFormat="1" applyFont="1" applyFill="1" applyBorder="1" applyAlignment="1">
      <alignment horizontal="center"/>
    </xf>
    <xf numFmtId="0" fontId="3" fillId="3" borderId="36" xfId="0" applyFont="1" applyFill="1" applyBorder="1" applyAlignment="1">
      <alignment horizontal="center"/>
    </xf>
    <xf numFmtId="42" fontId="0" fillId="16" borderId="8" xfId="0" applyNumberFormat="1" applyFill="1" applyBorder="1" applyAlignment="1">
      <alignment horizontal="center" vertical="center"/>
    </xf>
    <xf numFmtId="42" fontId="0" fillId="16" borderId="9" xfId="0" applyNumberFormat="1" applyFill="1" applyBorder="1" applyAlignment="1">
      <alignment horizontal="center" vertical="center"/>
    </xf>
    <xf numFmtId="42" fontId="0" fillId="16" borderId="26" xfId="0" applyNumberFormat="1" applyFill="1" applyBorder="1" applyAlignment="1">
      <alignment horizontal="center" vertical="center"/>
    </xf>
    <xf numFmtId="42" fontId="0" fillId="16" borderId="54" xfId="0" applyNumberFormat="1" applyFill="1" applyBorder="1" applyAlignment="1">
      <alignment horizontal="center" vertical="center"/>
    </xf>
    <xf numFmtId="42" fontId="3" fillId="3" borderId="63" xfId="0" applyNumberFormat="1" applyFont="1" applyFill="1" applyBorder="1" applyAlignment="1">
      <alignment horizontal="center" vertical="center"/>
    </xf>
    <xf numFmtId="0" fontId="11" fillId="2" borderId="49" xfId="0" applyFont="1" applyFill="1" applyBorder="1" applyAlignment="1">
      <alignment horizontal="left" vertical="center"/>
    </xf>
    <xf numFmtId="42" fontId="0" fillId="16" borderId="15" xfId="0" applyNumberFormat="1" applyFill="1" applyBorder="1" applyAlignment="1">
      <alignment horizontal="center" vertical="center"/>
    </xf>
    <xf numFmtId="42" fontId="0" fillId="16" borderId="53" xfId="0" applyNumberFormat="1" applyFill="1" applyBorder="1" applyAlignment="1">
      <alignment horizontal="center" vertical="center"/>
    </xf>
    <xf numFmtId="42" fontId="0" fillId="16" borderId="10" xfId="0" applyNumberFormat="1" applyFill="1" applyBorder="1" applyAlignment="1">
      <alignment horizontal="center" vertical="center"/>
    </xf>
    <xf numFmtId="42" fontId="0" fillId="16" borderId="55" xfId="0" applyNumberFormat="1" applyFill="1" applyBorder="1" applyAlignment="1">
      <alignment horizontal="center" vertical="center"/>
    </xf>
    <xf numFmtId="42" fontId="3" fillId="3" borderId="48" xfId="0" applyNumberFormat="1" applyFont="1" applyFill="1" applyBorder="1" applyAlignment="1">
      <alignment horizontal="center" vertical="center"/>
    </xf>
    <xf numFmtId="42" fontId="0" fillId="16" borderId="43" xfId="0" applyNumberFormat="1" applyFill="1" applyBorder="1" applyAlignment="1">
      <alignment horizontal="center" vertical="center"/>
    </xf>
    <xf numFmtId="42" fontId="0" fillId="16" borderId="18" xfId="0" applyNumberFormat="1" applyFill="1" applyBorder="1" applyAlignment="1">
      <alignment horizontal="center" vertical="center"/>
    </xf>
    <xf numFmtId="42" fontId="0" fillId="16" borderId="34" xfId="0" applyNumberFormat="1" applyFill="1" applyBorder="1" applyAlignment="1">
      <alignment horizontal="center" vertical="center"/>
    </xf>
    <xf numFmtId="42" fontId="0" fillId="16" borderId="13" xfId="0" applyNumberFormat="1" applyFill="1" applyBorder="1" applyAlignment="1">
      <alignment horizontal="center" vertical="center"/>
    </xf>
    <xf numFmtId="42" fontId="0" fillId="16" borderId="64" xfId="0" applyNumberFormat="1" applyFill="1" applyBorder="1" applyAlignment="1">
      <alignment horizontal="center" vertical="center"/>
    </xf>
    <xf numFmtId="42" fontId="0" fillId="16" borderId="65" xfId="0" applyNumberFormat="1" applyFill="1" applyBorder="1" applyAlignment="1">
      <alignment horizontal="center" vertical="center"/>
    </xf>
    <xf numFmtId="41" fontId="0" fillId="16" borderId="33" xfId="0" applyNumberFormat="1" applyFill="1" applyBorder="1" applyAlignment="1">
      <alignment horizontal="center" vertical="center"/>
    </xf>
    <xf numFmtId="41" fontId="0" fillId="16" borderId="12" xfId="0" applyNumberFormat="1" applyFill="1" applyBorder="1" applyAlignment="1">
      <alignment horizontal="center" vertical="center"/>
    </xf>
    <xf numFmtId="41" fontId="0" fillId="16" borderId="34" xfId="0" applyNumberFormat="1" applyFill="1" applyBorder="1" applyAlignment="1">
      <alignment horizontal="center" vertical="center"/>
    </xf>
    <xf numFmtId="41" fontId="0" fillId="16" borderId="13" xfId="0" applyNumberFormat="1" applyFill="1" applyBorder="1" applyAlignment="1">
      <alignment horizontal="center" vertical="center"/>
    </xf>
    <xf numFmtId="41" fontId="0" fillId="16" borderId="35" xfId="0" applyNumberFormat="1" applyFill="1" applyBorder="1" applyAlignment="1">
      <alignment horizontal="center" vertical="center"/>
    </xf>
    <xf numFmtId="41" fontId="0" fillId="16" borderId="21" xfId="0" applyNumberFormat="1" applyFill="1" applyBorder="1" applyAlignment="1">
      <alignment horizontal="center" vertical="center"/>
    </xf>
    <xf numFmtId="42" fontId="11" fillId="3" borderId="5" xfId="0" applyNumberFormat="1" applyFont="1" applyFill="1" applyBorder="1" applyAlignment="1">
      <alignment horizontal="center" vertical="center"/>
    </xf>
    <xf numFmtId="42" fontId="0" fillId="16" borderId="33" xfId="0" applyNumberFormat="1" applyFill="1" applyBorder="1" applyAlignment="1">
      <alignment horizontal="center" vertical="center"/>
    </xf>
    <xf numFmtId="42" fontId="0" fillId="16" borderId="12" xfId="0" applyNumberFormat="1" applyFill="1" applyBorder="1" applyAlignment="1">
      <alignment horizontal="center" vertical="center"/>
    </xf>
    <xf numFmtId="42" fontId="0" fillId="16" borderId="59" xfId="0" applyNumberFormat="1" applyFill="1" applyBorder="1" applyAlignment="1">
      <alignment horizontal="center" vertical="center"/>
    </xf>
    <xf numFmtId="42" fontId="0" fillId="16" borderId="63" xfId="0" applyNumberFormat="1" applyFill="1" applyBorder="1" applyAlignment="1">
      <alignment horizontal="center" vertical="center"/>
    </xf>
    <xf numFmtId="42" fontId="0" fillId="16" borderId="35" xfId="0" applyNumberFormat="1" applyFill="1" applyBorder="1" applyAlignment="1">
      <alignment horizontal="center" vertical="center"/>
    </xf>
    <xf numFmtId="42" fontId="0" fillId="16" borderId="21" xfId="0" applyNumberFormat="1" applyFill="1" applyBorder="1" applyAlignment="1">
      <alignment horizontal="center" vertical="center"/>
    </xf>
    <xf numFmtId="42" fontId="3" fillId="3" borderId="36" xfId="0" applyNumberFormat="1" applyFont="1" applyFill="1" applyBorder="1" applyAlignment="1">
      <alignment vertical="center"/>
    </xf>
    <xf numFmtId="42" fontId="3" fillId="3" borderId="5" xfId="0" applyNumberFormat="1" applyFont="1" applyFill="1" applyBorder="1" applyAlignment="1">
      <alignment vertical="center"/>
    </xf>
    <xf numFmtId="0" fontId="3" fillId="15" borderId="59" xfId="0" applyFont="1" applyFill="1" applyBorder="1" applyAlignment="1">
      <alignment horizontal="center"/>
    </xf>
    <xf numFmtId="42" fontId="3" fillId="3" borderId="48" xfId="0" applyNumberFormat="1" applyFont="1" applyFill="1" applyBorder="1" applyAlignment="1">
      <alignment horizontal="center"/>
    </xf>
    <xf numFmtId="42" fontId="0" fillId="16" borderId="56" xfId="0" applyNumberFormat="1" applyFill="1" applyBorder="1" applyAlignment="1">
      <alignment horizontal="center"/>
    </xf>
    <xf numFmtId="42" fontId="0" fillId="16" borderId="54" xfId="0" applyNumberFormat="1" applyFill="1" applyBorder="1" applyAlignment="1">
      <alignment horizontal="center"/>
    </xf>
    <xf numFmtId="42" fontId="0" fillId="16" borderId="57" xfId="0" applyNumberFormat="1" applyFill="1" applyBorder="1" applyAlignment="1">
      <alignment horizontal="center"/>
    </xf>
    <xf numFmtId="42" fontId="3" fillId="15" borderId="51" xfId="0" applyNumberFormat="1" applyFont="1" applyFill="1" applyBorder="1" applyAlignment="1">
      <alignment horizontal="center"/>
    </xf>
    <xf numFmtId="42" fontId="0" fillId="16" borderId="53" xfId="0" applyNumberFormat="1" applyFill="1" applyBorder="1" applyAlignment="1">
      <alignment horizontal="center"/>
    </xf>
    <xf numFmtId="42" fontId="0" fillId="16" borderId="55" xfId="0" applyNumberFormat="1" applyFill="1" applyBorder="1" applyAlignment="1">
      <alignment horizontal="center"/>
    </xf>
    <xf numFmtId="42" fontId="0" fillId="0" borderId="0" xfId="0" applyNumberFormat="1" applyFont="1" applyBorder="1" applyAlignment="1">
      <alignment horizontal="center"/>
    </xf>
    <xf numFmtId="0" fontId="0" fillId="0" borderId="0" xfId="0" quotePrefix="1" applyBorder="1" applyAlignment="1"/>
    <xf numFmtId="42" fontId="0" fillId="0" borderId="0" xfId="0" quotePrefix="1" applyNumberFormat="1" applyFont="1" applyBorder="1" applyAlignment="1">
      <alignment horizontal="left"/>
    </xf>
    <xf numFmtId="0" fontId="0" fillId="0" borderId="0" xfId="0" applyFont="1" applyBorder="1" applyAlignment="1"/>
    <xf numFmtId="0" fontId="0" fillId="16" borderId="43" xfId="0" applyFont="1" applyFill="1" applyBorder="1" applyAlignment="1">
      <alignment horizontal="center"/>
    </xf>
    <xf numFmtId="42" fontId="3" fillId="2" borderId="50" xfId="0" applyNumberFormat="1" applyFont="1" applyFill="1" applyBorder="1" applyAlignment="1">
      <alignment horizontal="center"/>
    </xf>
    <xf numFmtId="42" fontId="0" fillId="16" borderId="31" xfId="0" applyNumberFormat="1" applyFill="1" applyBorder="1" applyAlignment="1">
      <alignment horizontal="center"/>
    </xf>
    <xf numFmtId="42" fontId="0" fillId="16" borderId="58" xfId="0" applyNumberFormat="1" applyFill="1" applyBorder="1" applyAlignment="1">
      <alignment horizontal="center"/>
    </xf>
    <xf numFmtId="42" fontId="0" fillId="16" borderId="72" xfId="0" applyNumberFormat="1" applyFill="1" applyBorder="1" applyAlignment="1">
      <alignment horizontal="right"/>
    </xf>
    <xf numFmtId="42" fontId="3" fillId="2" borderId="28" xfId="0" applyNumberFormat="1" applyFont="1" applyFill="1" applyBorder="1" applyAlignment="1">
      <alignment horizontal="center"/>
    </xf>
    <xf numFmtId="42" fontId="0" fillId="16" borderId="69" xfId="0" applyNumberFormat="1" applyFill="1" applyBorder="1" applyAlignment="1">
      <alignment horizontal="center"/>
    </xf>
    <xf numFmtId="42" fontId="0" fillId="16" borderId="32" xfId="0" applyNumberFormat="1" applyFill="1" applyBorder="1" applyAlignment="1">
      <alignment horizontal="center"/>
    </xf>
    <xf numFmtId="0" fontId="0" fillId="0" borderId="77" xfId="0" applyBorder="1" applyAlignment="1">
      <alignment horizontal="center"/>
    </xf>
    <xf numFmtId="42" fontId="0" fillId="16" borderId="72" xfId="0" applyNumberFormat="1" applyFill="1" applyBorder="1" applyAlignment="1">
      <alignment horizontal="center"/>
    </xf>
    <xf numFmtId="42" fontId="11" fillId="15" borderId="28" xfId="0" applyNumberFormat="1" applyFont="1" applyFill="1" applyBorder="1" applyAlignment="1">
      <alignment horizontal="center"/>
    </xf>
    <xf numFmtId="42" fontId="3" fillId="15" borderId="28" xfId="0" applyNumberFormat="1" applyFont="1" applyFill="1" applyBorder="1" applyAlignment="1">
      <alignment horizontal="center"/>
    </xf>
    <xf numFmtId="42" fontId="11" fillId="15" borderId="3" xfId="0" applyNumberFormat="1" applyFont="1" applyFill="1" applyBorder="1" applyAlignment="1">
      <alignment horizontal="center"/>
    </xf>
    <xf numFmtId="42" fontId="0" fillId="16" borderId="15" xfId="0" applyNumberFormat="1" applyFill="1" applyBorder="1" applyAlignment="1">
      <alignment horizontal="right"/>
    </xf>
    <xf numFmtId="42" fontId="0" fillId="16" borderId="10" xfId="0" applyNumberFormat="1" applyFill="1" applyBorder="1" applyAlignment="1">
      <alignment horizontal="right"/>
    </xf>
    <xf numFmtId="42" fontId="0" fillId="16" borderId="14" xfId="0" applyNumberFormat="1" applyFill="1" applyBorder="1" applyAlignment="1">
      <alignment horizontal="center"/>
    </xf>
    <xf numFmtId="0" fontId="0" fillId="0" borderId="0" xfId="0" applyAlignment="1">
      <alignment vertical="center"/>
    </xf>
    <xf numFmtId="0" fontId="0" fillId="0" borderId="0" xfId="0" applyBorder="1" applyAlignment="1"/>
    <xf numFmtId="42" fontId="33" fillId="16" borderId="1" xfId="0" applyNumberFormat="1" applyFont="1" applyFill="1" applyBorder="1" applyAlignment="1">
      <alignment horizontal="center"/>
    </xf>
    <xf numFmtId="42" fontId="33" fillId="2" borderId="4" xfId="0" applyNumberFormat="1" applyFont="1" applyFill="1" applyBorder="1" applyAlignment="1">
      <alignment horizontal="center"/>
    </xf>
    <xf numFmtId="42" fontId="33" fillId="2" borderId="5" xfId="0" applyNumberFormat="1" applyFont="1" applyFill="1" applyBorder="1" applyAlignment="1">
      <alignment horizontal="center"/>
    </xf>
    <xf numFmtId="42" fontId="33" fillId="16" borderId="11" xfId="0" applyNumberFormat="1" applyFont="1" applyFill="1" applyBorder="1" applyAlignment="1">
      <alignment horizontal="center"/>
    </xf>
    <xf numFmtId="42" fontId="33" fillId="16" borderId="12" xfId="0" applyNumberFormat="1" applyFont="1" applyFill="1" applyBorder="1" applyAlignment="1">
      <alignment horizontal="center"/>
    </xf>
    <xf numFmtId="42" fontId="33" fillId="16" borderId="13" xfId="0" applyNumberFormat="1" applyFont="1" applyFill="1" applyBorder="1" applyAlignment="1">
      <alignment horizontal="center"/>
    </xf>
    <xf numFmtId="0" fontId="0" fillId="0" borderId="0" xfId="0" applyAlignment="1"/>
    <xf numFmtId="42" fontId="0" fillId="16" borderId="2" xfId="0" applyNumberFormat="1" applyFill="1" applyBorder="1" applyAlignment="1">
      <alignment horizontal="center"/>
    </xf>
    <xf numFmtId="42" fontId="0" fillId="16" borderId="81" xfId="0" applyNumberFormat="1" applyFill="1" applyBorder="1" applyAlignment="1">
      <alignment horizontal="center"/>
    </xf>
    <xf numFmtId="0" fontId="0" fillId="0" borderId="10" xfId="0" applyBorder="1" applyAlignment="1">
      <alignment horizontal="center"/>
    </xf>
    <xf numFmtId="0" fontId="0" fillId="0" borderId="1" xfId="0" applyBorder="1" applyAlignment="1">
      <alignment horizontal="center"/>
    </xf>
    <xf numFmtId="0" fontId="0" fillId="0" borderId="0" xfId="0" applyBorder="1" applyAlignment="1">
      <alignment horizontal="center"/>
    </xf>
    <xf numFmtId="0" fontId="0" fillId="0" borderId="0" xfId="0" applyFill="1" applyBorder="1" applyAlignment="1">
      <alignment horizontal="center"/>
    </xf>
    <xf numFmtId="42" fontId="0" fillId="0" borderId="0" xfId="0" applyNumberFormat="1" applyFill="1" applyBorder="1" applyAlignment="1">
      <alignment horizontal="center"/>
    </xf>
    <xf numFmtId="0" fontId="0" fillId="0" borderId="6" xfId="0" applyBorder="1" applyAlignment="1">
      <alignment horizontal="center"/>
    </xf>
    <xf numFmtId="0" fontId="3" fillId="15" borderId="3" xfId="0" applyFont="1" applyFill="1" applyBorder="1" applyAlignment="1">
      <alignment horizontal="center"/>
    </xf>
    <xf numFmtId="44" fontId="13" fillId="0" borderId="0" xfId="2" applyNumberFormat="1" applyAlignment="1">
      <alignment vertical="center"/>
    </xf>
    <xf numFmtId="41" fontId="0" fillId="16" borderId="31" xfId="0" applyNumberFormat="1" applyFill="1" applyBorder="1" applyAlignment="1">
      <alignment horizontal="center" vertical="center"/>
    </xf>
    <xf numFmtId="41" fontId="0" fillId="16" borderId="58" xfId="0" applyNumberFormat="1" applyFill="1" applyBorder="1" applyAlignment="1">
      <alignment horizontal="center" vertical="center"/>
    </xf>
    <xf numFmtId="41" fontId="0" fillId="16" borderId="32" xfId="0" applyNumberFormat="1" applyFill="1" applyBorder="1" applyAlignment="1">
      <alignment horizontal="center" vertical="center"/>
    </xf>
    <xf numFmtId="42" fontId="3" fillId="3" borderId="29" xfId="0" applyNumberFormat="1" applyFont="1" applyFill="1" applyBorder="1" applyAlignment="1">
      <alignment horizontal="center" vertical="center"/>
    </xf>
    <xf numFmtId="42" fontId="3" fillId="16" borderId="9" xfId="0" applyNumberFormat="1" applyFont="1" applyFill="1" applyBorder="1" applyAlignment="1"/>
    <xf numFmtId="42" fontId="3" fillId="16" borderId="10" xfId="0" applyNumberFormat="1" applyFont="1" applyFill="1" applyBorder="1" applyAlignment="1"/>
    <xf numFmtId="42" fontId="11" fillId="3" borderId="3" xfId="0" applyNumberFormat="1" applyFont="1" applyFill="1" applyBorder="1" applyAlignment="1">
      <alignment vertical="center"/>
    </xf>
    <xf numFmtId="42" fontId="3" fillId="3" borderId="3" xfId="0" applyNumberFormat="1" applyFont="1" applyFill="1" applyBorder="1" applyAlignment="1">
      <alignment horizontal="right" vertical="center"/>
    </xf>
    <xf numFmtId="0" fontId="3" fillId="26" borderId="14" xfId="0" applyFont="1" applyFill="1" applyBorder="1" applyAlignment="1">
      <alignment horizontal="center" vertical="center"/>
    </xf>
    <xf numFmtId="0" fontId="3" fillId="26" borderId="70" xfId="0" applyFont="1" applyFill="1" applyBorder="1" applyAlignment="1">
      <alignment vertical="center"/>
    </xf>
    <xf numFmtId="0" fontId="0" fillId="18" borderId="0" xfId="0" applyFill="1" applyAlignment="1">
      <alignment vertical="center"/>
    </xf>
    <xf numFmtId="0" fontId="3" fillId="26" borderId="3" xfId="0" applyFont="1" applyFill="1" applyBorder="1" applyAlignment="1">
      <alignment horizontal="center" vertical="center"/>
    </xf>
    <xf numFmtId="0" fontId="0" fillId="0" borderId="13" xfId="0" applyFont="1" applyBorder="1" applyAlignment="1">
      <alignment vertical="center"/>
    </xf>
    <xf numFmtId="0" fontId="0" fillId="0" borderId="21" xfId="0" applyFont="1" applyBorder="1" applyAlignment="1">
      <alignment vertical="center"/>
    </xf>
    <xf numFmtId="0" fontId="3" fillId="3" borderId="36" xfId="0" applyFont="1" applyFill="1" applyBorder="1" applyAlignment="1">
      <alignment horizontal="right" vertical="center"/>
    </xf>
    <xf numFmtId="0" fontId="0" fillId="0" borderId="0" xfId="0" applyAlignment="1">
      <alignment vertical="center"/>
    </xf>
    <xf numFmtId="0" fontId="2" fillId="0" borderId="19" xfId="0" applyFont="1" applyBorder="1" applyAlignment="1"/>
    <xf numFmtId="0" fontId="2" fillId="0" borderId="28" xfId="0" applyFont="1" applyBorder="1" applyAlignment="1"/>
    <xf numFmtId="0" fontId="0" fillId="0" borderId="0" xfId="0" applyAlignment="1"/>
    <xf numFmtId="42" fontId="3" fillId="3" borderId="28" xfId="0" applyNumberFormat="1" applyFont="1" applyFill="1" applyBorder="1" applyAlignment="1">
      <alignment vertical="center"/>
    </xf>
    <xf numFmtId="42" fontId="3" fillId="3" borderId="50" xfId="0" applyNumberFormat="1" applyFont="1" applyFill="1" applyBorder="1" applyAlignment="1">
      <alignment horizontal="center" vertical="center"/>
    </xf>
    <xf numFmtId="41" fontId="3" fillId="3" borderId="28" xfId="0" applyNumberFormat="1" applyFont="1" applyFill="1" applyBorder="1" applyAlignment="1">
      <alignment horizontal="center" vertical="center"/>
    </xf>
    <xf numFmtId="42" fontId="3" fillId="3" borderId="23" xfId="0" applyNumberFormat="1" applyFont="1" applyFill="1" applyBorder="1" applyAlignment="1">
      <alignment horizontal="center" vertical="center"/>
    </xf>
    <xf numFmtId="42" fontId="3" fillId="3" borderId="51" xfId="0" applyNumberFormat="1" applyFont="1" applyFill="1" applyBorder="1" applyAlignment="1">
      <alignment horizontal="center" vertical="center"/>
    </xf>
    <xf numFmtId="42" fontId="3" fillId="3" borderId="28" xfId="0" applyNumberFormat="1" applyFont="1" applyFill="1" applyBorder="1" applyAlignment="1">
      <alignment horizontal="center" vertical="center"/>
    </xf>
    <xf numFmtId="42" fontId="3" fillId="3" borderId="52" xfId="0" applyNumberFormat="1" applyFont="1" applyFill="1" applyBorder="1" applyAlignment="1">
      <alignment horizontal="center" vertical="center"/>
    </xf>
    <xf numFmtId="0" fontId="0" fillId="0" borderId="23" xfId="0" applyBorder="1" applyAlignment="1">
      <alignment horizontal="center"/>
    </xf>
    <xf numFmtId="0" fontId="0" fillId="0" borderId="46" xfId="0" quotePrefix="1" applyBorder="1" applyAlignment="1">
      <alignment horizontal="left"/>
    </xf>
    <xf numFmtId="0" fontId="0" fillId="0" borderId="47" xfId="0" quotePrefix="1" applyBorder="1" applyAlignment="1">
      <alignment horizontal="left"/>
    </xf>
    <xf numFmtId="0" fontId="3" fillId="15" borderId="19" xfId="0" applyFont="1" applyFill="1" applyBorder="1" applyAlignment="1">
      <alignment horizontal="center"/>
    </xf>
    <xf numFmtId="0" fontId="0" fillId="0" borderId="58" xfId="0" quotePrefix="1" applyBorder="1" applyAlignment="1">
      <alignment horizontal="left"/>
    </xf>
    <xf numFmtId="0" fontId="0" fillId="0" borderId="32" xfId="0" quotePrefix="1" applyBorder="1" applyAlignment="1">
      <alignment horizontal="left"/>
    </xf>
    <xf numFmtId="0" fontId="3" fillId="15" borderId="28" xfId="0" applyFont="1" applyFill="1" applyBorder="1" applyAlignment="1">
      <alignment horizontal="center"/>
    </xf>
    <xf numFmtId="42" fontId="0" fillId="16" borderId="23" xfId="0" applyNumberFormat="1" applyFill="1" applyBorder="1" applyAlignment="1">
      <alignment horizontal="center"/>
    </xf>
    <xf numFmtId="0" fontId="0" fillId="0" borderId="50" xfId="0" applyBorder="1" applyAlignment="1">
      <alignment horizontal="left"/>
    </xf>
    <xf numFmtId="0" fontId="0" fillId="0" borderId="72" xfId="0" applyBorder="1" applyAlignment="1">
      <alignment horizontal="left"/>
    </xf>
    <xf numFmtId="0" fontId="0" fillId="0" borderId="32" xfId="0" applyBorder="1" applyAlignment="1">
      <alignment horizontal="left"/>
    </xf>
    <xf numFmtId="0" fontId="0" fillId="2" borderId="3" xfId="0" applyFill="1" applyBorder="1" applyAlignment="1">
      <alignment horizontal="center"/>
    </xf>
    <xf numFmtId="42" fontId="3" fillId="2" borderId="19" xfId="0" applyNumberFormat="1" applyFont="1" applyFill="1" applyBorder="1" applyAlignment="1">
      <alignment horizontal="center"/>
    </xf>
    <xf numFmtId="0" fontId="0" fillId="3" borderId="19" xfId="0" applyFill="1" applyBorder="1" applyAlignment="1">
      <alignment horizontal="center"/>
    </xf>
    <xf numFmtId="42" fontId="3" fillId="8" borderId="37" xfId="0" applyNumberFormat="1" applyFont="1" applyFill="1" applyBorder="1" applyAlignment="1">
      <alignment horizontal="center" vertical="center"/>
    </xf>
    <xf numFmtId="42" fontId="3" fillId="8" borderId="13" xfId="0" applyNumberFormat="1" applyFont="1" applyFill="1" applyBorder="1" applyAlignment="1">
      <alignment horizontal="center" vertical="center"/>
    </xf>
    <xf numFmtId="0" fontId="0" fillId="8" borderId="1" xfId="0" applyFont="1" applyFill="1" applyBorder="1" applyAlignment="1">
      <alignment horizontal="left" vertical="center" wrapText="1"/>
    </xf>
    <xf numFmtId="44" fontId="3" fillId="2" borderId="19" xfId="0" applyNumberFormat="1" applyFont="1" applyFill="1" applyBorder="1" applyAlignment="1">
      <alignment horizontal="center" vertical="center"/>
    </xf>
    <xf numFmtId="0" fontId="0" fillId="0" borderId="0" xfId="0" applyAlignment="1">
      <alignment vertical="center"/>
    </xf>
    <xf numFmtId="0" fontId="0" fillId="0" borderId="41" xfId="0" applyBorder="1" applyAlignment="1">
      <alignment vertical="center"/>
    </xf>
    <xf numFmtId="0" fontId="0" fillId="0" borderId="1" xfId="0" applyFont="1" applyBorder="1" applyAlignment="1">
      <alignment vertical="center"/>
    </xf>
    <xf numFmtId="0" fontId="0" fillId="0" borderId="20" xfId="0" applyFont="1" applyBorder="1" applyAlignment="1">
      <alignment vertical="center"/>
    </xf>
    <xf numFmtId="0" fontId="0" fillId="0" borderId="21" xfId="0" applyFont="1" applyBorder="1" applyAlignment="1">
      <alignment vertical="center"/>
    </xf>
    <xf numFmtId="0" fontId="0" fillId="0" borderId="11" xfId="0" applyFont="1" applyBorder="1" applyAlignment="1">
      <alignment vertical="center"/>
    </xf>
    <xf numFmtId="42" fontId="0" fillId="0" borderId="21" xfId="0" applyNumberFormat="1" applyFont="1" applyBorder="1" applyAlignment="1">
      <alignment horizontal="center" vertical="center"/>
    </xf>
    <xf numFmtId="42" fontId="0" fillId="0" borderId="47" xfId="0" applyNumberFormat="1" applyFont="1" applyBorder="1" applyAlignment="1">
      <alignment horizontal="center" vertical="center"/>
    </xf>
    <xf numFmtId="0" fontId="73" fillId="0" borderId="1" xfId="0" applyFont="1" applyBorder="1" applyAlignment="1">
      <alignment vertical="center" wrapText="1"/>
    </xf>
    <xf numFmtId="0" fontId="72" fillId="0" borderId="37" xfId="0" applyFont="1" applyBorder="1" applyAlignment="1">
      <alignment horizontal="center" vertical="center"/>
    </xf>
    <xf numFmtId="42" fontId="72" fillId="0" borderId="34" xfId="0" quotePrefix="1" applyNumberFormat="1" applyFont="1" applyBorder="1" applyAlignment="1">
      <alignment horizontal="center" vertical="center"/>
    </xf>
    <xf numFmtId="42" fontId="72" fillId="0" borderId="37" xfId="0" quotePrefix="1" applyNumberFormat="1" applyFont="1" applyBorder="1" applyAlignment="1">
      <alignment horizontal="center" vertical="center"/>
    </xf>
    <xf numFmtId="42" fontId="72" fillId="0" borderId="13" xfId="0" quotePrefix="1" applyNumberFormat="1" applyFont="1" applyBorder="1" applyAlignment="1">
      <alignment horizontal="center" vertical="center"/>
    </xf>
    <xf numFmtId="0" fontId="73" fillId="0" borderId="58" xfId="0" quotePrefix="1" applyFont="1" applyBorder="1" applyAlignment="1">
      <alignment horizontal="left" vertical="center" wrapText="1"/>
    </xf>
    <xf numFmtId="0" fontId="73" fillId="0" borderId="11" xfId="0" applyFont="1" applyBorder="1" applyAlignment="1">
      <alignment vertical="center" wrapText="1"/>
    </xf>
    <xf numFmtId="0" fontId="73" fillId="0" borderId="20" xfId="0" applyFont="1" applyBorder="1" applyAlignment="1">
      <alignment vertical="center" wrapText="1"/>
    </xf>
    <xf numFmtId="0" fontId="73" fillId="0" borderId="6" xfId="0" applyFont="1" applyBorder="1" applyAlignment="1">
      <alignment vertical="center" wrapText="1"/>
    </xf>
    <xf numFmtId="0" fontId="73" fillId="0" borderId="1" xfId="0" quotePrefix="1" applyFont="1" applyBorder="1" applyAlignment="1">
      <alignment vertical="center" wrapText="1"/>
    </xf>
    <xf numFmtId="42" fontId="72" fillId="0" borderId="33" xfId="0" quotePrefix="1" applyNumberFormat="1" applyFont="1" applyBorder="1" applyAlignment="1">
      <alignment horizontal="center" vertical="center"/>
    </xf>
    <xf numFmtId="42" fontId="72" fillId="0" borderId="35" xfId="0" quotePrefix="1" applyNumberFormat="1" applyFont="1" applyBorder="1" applyAlignment="1">
      <alignment horizontal="center" vertical="center"/>
    </xf>
    <xf numFmtId="42" fontId="72" fillId="0" borderId="64" xfId="0" quotePrefix="1" applyNumberFormat="1" applyFont="1" applyBorder="1" applyAlignment="1">
      <alignment horizontal="center" vertical="center"/>
    </xf>
    <xf numFmtId="42" fontId="72" fillId="0" borderId="37" xfId="0" applyNumberFormat="1" applyFont="1" applyFill="1" applyBorder="1" applyAlignment="1">
      <alignment horizontal="center" vertical="center"/>
    </xf>
    <xf numFmtId="42" fontId="72" fillId="0" borderId="13" xfId="0" applyNumberFormat="1" applyFont="1" applyFill="1" applyBorder="1" applyAlignment="1">
      <alignment horizontal="center" vertical="center"/>
    </xf>
    <xf numFmtId="0" fontId="73" fillId="0" borderId="58" xfId="0" applyFont="1" applyBorder="1" applyAlignment="1">
      <alignment horizontal="left" vertical="center" wrapText="1"/>
    </xf>
    <xf numFmtId="42" fontId="72" fillId="0" borderId="34" xfId="0" applyNumberFormat="1" applyFont="1" applyFill="1" applyBorder="1" applyAlignment="1">
      <alignment horizontal="center" vertical="center"/>
    </xf>
    <xf numFmtId="42" fontId="74" fillId="0" borderId="37" xfId="0" applyNumberFormat="1" applyFont="1" applyFill="1" applyBorder="1" applyAlignment="1">
      <alignment horizontal="center" vertical="center"/>
    </xf>
    <xf numFmtId="42" fontId="74" fillId="0" borderId="13" xfId="0" applyNumberFormat="1" applyFont="1" applyFill="1" applyBorder="1" applyAlignment="1">
      <alignment horizontal="center" vertical="center"/>
    </xf>
    <xf numFmtId="42" fontId="72" fillId="0" borderId="64" xfId="0" quotePrefix="1" applyNumberFormat="1" applyFont="1" applyFill="1" applyBorder="1" applyAlignment="1">
      <alignment horizontal="center" vertical="center"/>
    </xf>
    <xf numFmtId="42" fontId="72" fillId="0" borderId="42" xfId="0" quotePrefix="1" applyNumberFormat="1" applyFont="1" applyBorder="1" applyAlignment="1">
      <alignment horizontal="center" vertical="center"/>
    </xf>
    <xf numFmtId="42" fontId="72" fillId="0" borderId="65" xfId="0" applyNumberFormat="1" applyFont="1" applyBorder="1" applyAlignment="1">
      <alignment horizontal="center" vertical="center"/>
    </xf>
    <xf numFmtId="0" fontId="73" fillId="0" borderId="72" xfId="0" applyFont="1" applyBorder="1" applyAlignment="1">
      <alignment horizontal="left" vertical="center" wrapText="1"/>
    </xf>
    <xf numFmtId="0" fontId="73" fillId="0" borderId="31" xfId="0" quotePrefix="1" applyFont="1" applyBorder="1" applyAlignment="1">
      <alignment horizontal="left" vertical="center" wrapText="1"/>
    </xf>
    <xf numFmtId="0" fontId="73" fillId="0" borderId="32" xfId="0" quotePrefix="1" applyFont="1" applyBorder="1" applyAlignment="1">
      <alignment horizontal="left" vertical="center" wrapText="1"/>
    </xf>
    <xf numFmtId="0" fontId="73" fillId="0" borderId="72" xfId="0" quotePrefix="1" applyFont="1" applyBorder="1" applyAlignment="1">
      <alignment horizontal="left" vertical="center" wrapText="1"/>
    </xf>
    <xf numFmtId="42" fontId="11" fillId="16" borderId="65" xfId="0" applyNumberFormat="1" applyFont="1" applyFill="1" applyBorder="1" applyAlignment="1">
      <alignment horizontal="center" vertical="center"/>
    </xf>
    <xf numFmtId="42" fontId="3" fillId="10" borderId="15" xfId="0" applyNumberFormat="1" applyFont="1" applyFill="1" applyBorder="1"/>
    <xf numFmtId="42" fontId="3" fillId="10" borderId="9" xfId="0" applyNumberFormat="1" applyFont="1" applyFill="1" applyBorder="1"/>
    <xf numFmtId="0" fontId="0" fillId="0" borderId="57" xfId="0" applyBorder="1" applyAlignment="1">
      <alignment horizontal="center" vertical="center"/>
    </xf>
    <xf numFmtId="0" fontId="0" fillId="0" borderId="9" xfId="0" quotePrefix="1" applyBorder="1" applyAlignment="1">
      <alignment vertical="center" wrapText="1"/>
    </xf>
    <xf numFmtId="42" fontId="3" fillId="16" borderId="31" xfId="0" applyNumberFormat="1" applyFont="1" applyFill="1" applyBorder="1" applyAlignment="1">
      <alignment horizontal="center"/>
    </xf>
    <xf numFmtId="42" fontId="3" fillId="16" borderId="58" xfId="0" applyNumberFormat="1" applyFont="1" applyFill="1" applyBorder="1" applyAlignment="1"/>
    <xf numFmtId="0" fontId="3" fillId="15" borderId="36" xfId="0" applyFont="1" applyFill="1" applyBorder="1" applyAlignment="1">
      <alignment horizontal="center"/>
    </xf>
    <xf numFmtId="42" fontId="3" fillId="15" borderId="4" xfId="0" applyNumberFormat="1" applyFont="1" applyFill="1" applyBorder="1" applyAlignment="1">
      <alignment horizontal="center"/>
    </xf>
    <xf numFmtId="42" fontId="0" fillId="0" borderId="17" xfId="0" applyNumberFormat="1" applyBorder="1" applyAlignment="1">
      <alignment horizontal="center"/>
    </xf>
    <xf numFmtId="42" fontId="0" fillId="16" borderId="6" xfId="0" applyNumberFormat="1" applyFill="1" applyBorder="1" applyAlignment="1">
      <alignment horizontal="center"/>
    </xf>
    <xf numFmtId="42" fontId="0" fillId="0" borderId="6" xfId="0" applyNumberFormat="1" applyBorder="1" applyAlignment="1">
      <alignment horizontal="center"/>
    </xf>
    <xf numFmtId="0" fontId="3" fillId="0" borderId="0" xfId="0" applyFont="1" applyFill="1" applyBorder="1" applyAlignment="1">
      <alignment horizontal="center"/>
    </xf>
    <xf numFmtId="42" fontId="3" fillId="0" borderId="0" xfId="0" applyNumberFormat="1" applyFont="1" applyFill="1" applyBorder="1" applyAlignment="1">
      <alignment horizontal="center"/>
    </xf>
    <xf numFmtId="0" fontId="0" fillId="2" borderId="36" xfId="0" applyFill="1" applyBorder="1" applyAlignment="1">
      <alignment horizontal="center"/>
    </xf>
    <xf numFmtId="0" fontId="0" fillId="15" borderId="19" xfId="0" applyFill="1" applyBorder="1" applyAlignment="1">
      <alignment horizontal="center"/>
    </xf>
    <xf numFmtId="42" fontId="3" fillId="15" borderId="5" xfId="0" applyNumberFormat="1" applyFont="1" applyFill="1" applyBorder="1" applyAlignment="1">
      <alignment horizontal="center"/>
    </xf>
    <xf numFmtId="0" fontId="0" fillId="0" borderId="22" xfId="0" applyBorder="1" applyAlignment="1">
      <alignment horizontal="center"/>
    </xf>
    <xf numFmtId="42" fontId="3" fillId="0" borderId="72" xfId="0" applyNumberFormat="1" applyFont="1" applyFill="1" applyBorder="1" applyAlignment="1"/>
    <xf numFmtId="42" fontId="3" fillId="12" borderId="23" xfId="0" applyNumberFormat="1" applyFont="1" applyFill="1" applyBorder="1" applyAlignment="1"/>
    <xf numFmtId="0" fontId="0" fillId="16" borderId="1" xfId="0" applyFill="1" applyBorder="1" applyAlignment="1">
      <alignment horizontal="center"/>
    </xf>
    <xf numFmtId="42" fontId="3" fillId="3" borderId="23" xfId="0" applyNumberFormat="1" applyFont="1" applyFill="1" applyBorder="1" applyAlignment="1"/>
    <xf numFmtId="0" fontId="3" fillId="3" borderId="22" xfId="0" applyFont="1" applyFill="1" applyBorder="1" applyAlignment="1">
      <alignment horizontal="center"/>
    </xf>
    <xf numFmtId="0" fontId="0" fillId="0" borderId="79" xfId="0" applyBorder="1" applyAlignment="1">
      <alignment horizontal="left"/>
    </xf>
    <xf numFmtId="0" fontId="3" fillId="0" borderId="72" xfId="0" applyFont="1" applyBorder="1" applyAlignment="1">
      <alignment horizontal="left"/>
    </xf>
    <xf numFmtId="0" fontId="0" fillId="0" borderId="0" xfId="0" applyFill="1" applyBorder="1" applyAlignment="1">
      <alignment horizontal="left"/>
    </xf>
    <xf numFmtId="0" fontId="33" fillId="3" borderId="36" xfId="0" applyFont="1" applyFill="1" applyBorder="1" applyAlignment="1">
      <alignment horizontal="center"/>
    </xf>
    <xf numFmtId="0" fontId="33" fillId="3" borderId="4" xfId="0" applyFont="1" applyFill="1" applyBorder="1" applyAlignment="1">
      <alignment horizontal="center"/>
    </xf>
    <xf numFmtId="42" fontId="33" fillId="3" borderId="4" xfId="0" applyNumberFormat="1" applyFont="1" applyFill="1" applyBorder="1" applyAlignment="1">
      <alignment horizontal="center"/>
    </xf>
    <xf numFmtId="0" fontId="3" fillId="15" borderId="19" xfId="0" applyFont="1" applyFill="1" applyBorder="1" applyAlignment="1">
      <alignment horizontal="left"/>
    </xf>
    <xf numFmtId="0" fontId="0" fillId="0" borderId="71" xfId="0" quotePrefix="1" applyBorder="1" applyAlignment="1">
      <alignment horizontal="left"/>
    </xf>
    <xf numFmtId="0" fontId="0" fillId="0" borderId="69" xfId="0" quotePrefix="1" applyBorder="1" applyAlignment="1">
      <alignment horizontal="left"/>
    </xf>
    <xf numFmtId="0" fontId="0" fillId="0" borderId="71" xfId="0" applyBorder="1" applyAlignment="1">
      <alignment horizontal="left"/>
    </xf>
    <xf numFmtId="0" fontId="0" fillId="0" borderId="46" xfId="0" applyBorder="1" applyAlignment="1">
      <alignment horizontal="left"/>
    </xf>
    <xf numFmtId="0" fontId="0" fillId="0" borderId="45" xfId="0" applyBorder="1" applyAlignment="1">
      <alignment horizontal="left"/>
    </xf>
    <xf numFmtId="0" fontId="0" fillId="0" borderId="69" xfId="0" applyBorder="1" applyAlignment="1">
      <alignment horizontal="left"/>
    </xf>
    <xf numFmtId="0" fontId="0" fillId="0" borderId="58" xfId="0" applyBorder="1" applyAlignment="1">
      <alignment horizontal="left"/>
    </xf>
    <xf numFmtId="0" fontId="3" fillId="15" borderId="28" xfId="0" applyFont="1" applyFill="1" applyBorder="1" applyAlignment="1">
      <alignment horizontal="left"/>
    </xf>
    <xf numFmtId="0" fontId="0" fillId="0" borderId="31" xfId="0" applyBorder="1" applyAlignment="1">
      <alignment horizontal="left"/>
    </xf>
    <xf numFmtId="42" fontId="3" fillId="24" borderId="3" xfId="0" applyNumberFormat="1" applyFont="1" applyFill="1" applyBorder="1" applyAlignment="1"/>
    <xf numFmtId="0" fontId="3" fillId="24" borderId="19" xfId="0" applyFont="1" applyFill="1" applyBorder="1" applyAlignment="1">
      <alignment horizontal="center"/>
    </xf>
    <xf numFmtId="0" fontId="0" fillId="3" borderId="3" xfId="0" applyFill="1" applyBorder="1" applyAlignment="1">
      <alignment horizontal="center"/>
    </xf>
    <xf numFmtId="42" fontId="0" fillId="16" borderId="33" xfId="0" applyNumberFormat="1" applyFill="1" applyBorder="1" applyAlignment="1">
      <alignment horizontal="center"/>
    </xf>
    <xf numFmtId="42" fontId="0" fillId="16" borderId="34" xfId="0" applyNumberFormat="1" applyFill="1" applyBorder="1" applyAlignment="1">
      <alignment horizontal="center"/>
    </xf>
    <xf numFmtId="42" fontId="0" fillId="16" borderId="64" xfId="0" applyNumberFormat="1" applyFill="1" applyBorder="1" applyAlignment="1">
      <alignment horizontal="center"/>
    </xf>
    <xf numFmtId="0" fontId="3" fillId="0" borderId="50" xfId="0" applyFont="1" applyBorder="1" applyAlignment="1">
      <alignment horizontal="left"/>
    </xf>
    <xf numFmtId="42" fontId="0" fillId="0" borderId="64" xfId="0" applyNumberFormat="1" applyFill="1" applyBorder="1" applyAlignment="1">
      <alignment horizontal="center"/>
    </xf>
    <xf numFmtId="0" fontId="3" fillId="15" borderId="48" xfId="0" applyFont="1" applyFill="1" applyBorder="1" applyAlignment="1">
      <alignment horizontal="left"/>
    </xf>
    <xf numFmtId="42" fontId="33" fillId="3" borderId="40" xfId="0" applyNumberFormat="1" applyFont="1" applyFill="1" applyBorder="1" applyAlignment="1">
      <alignment horizontal="center"/>
    </xf>
    <xf numFmtId="0" fontId="33" fillId="3" borderId="3" xfId="0" applyFont="1" applyFill="1" applyBorder="1" applyAlignment="1">
      <alignment horizontal="center"/>
    </xf>
    <xf numFmtId="0" fontId="3" fillId="24" borderId="3" xfId="0" applyFont="1" applyFill="1" applyBorder="1" applyAlignment="1">
      <alignment horizontal="center"/>
    </xf>
    <xf numFmtId="175" fontId="45" fillId="16" borderId="29" xfId="0" applyNumberFormat="1" applyFont="1" applyFill="1" applyBorder="1" applyAlignment="1">
      <alignment horizontal="left"/>
    </xf>
    <xf numFmtId="10" fontId="0" fillId="0" borderId="0" xfId="0" applyNumberFormat="1" applyBorder="1" applyAlignment="1">
      <alignment horizontal="center"/>
    </xf>
    <xf numFmtId="42" fontId="3" fillId="3" borderId="61" xfId="0" applyNumberFormat="1" applyFont="1" applyFill="1" applyBorder="1" applyAlignment="1">
      <alignment vertical="center"/>
    </xf>
    <xf numFmtId="0" fontId="0" fillId="0" borderId="0" xfId="0" applyFill="1" applyAlignment="1">
      <alignment horizontal="center" vertical="center"/>
    </xf>
    <xf numFmtId="0" fontId="7" fillId="0" borderId="0" xfId="0" applyFont="1" applyFill="1" applyAlignment="1">
      <alignment vertical="center"/>
    </xf>
    <xf numFmtId="0" fontId="0" fillId="0" borderId="0" xfId="0" applyFill="1" applyAlignment="1">
      <alignment vertical="center"/>
    </xf>
    <xf numFmtId="0" fontId="0" fillId="24" borderId="48" xfId="0" applyFill="1" applyBorder="1" applyAlignment="1">
      <alignment horizontal="center" vertical="center"/>
    </xf>
    <xf numFmtId="0" fontId="0" fillId="24" borderId="19" xfId="0" applyFill="1" applyBorder="1" applyAlignment="1">
      <alignment vertical="center"/>
    </xf>
    <xf numFmtId="0" fontId="0" fillId="24" borderId="28" xfId="0" applyFill="1" applyBorder="1" applyAlignment="1">
      <alignment vertical="center"/>
    </xf>
    <xf numFmtId="0" fontId="0" fillId="0" borderId="60" xfId="0" applyBorder="1" applyAlignment="1">
      <alignment horizontal="right" vertical="center"/>
    </xf>
    <xf numFmtId="42" fontId="0" fillId="0" borderId="62" xfId="0" applyNumberFormat="1" applyBorder="1" applyAlignment="1">
      <alignment vertical="center"/>
    </xf>
    <xf numFmtId="0" fontId="3" fillId="0" borderId="44" xfId="0" applyFont="1" applyBorder="1" applyAlignment="1"/>
    <xf numFmtId="42" fontId="0" fillId="24" borderId="24" xfId="0" applyNumberFormat="1" applyFill="1" applyBorder="1" applyAlignment="1">
      <alignment horizontal="center"/>
    </xf>
    <xf numFmtId="44" fontId="3" fillId="3" borderId="24" xfId="0" applyNumberFormat="1" applyFont="1" applyFill="1" applyBorder="1" applyAlignment="1"/>
    <xf numFmtId="44" fontId="33" fillId="3" borderId="24" xfId="0" applyNumberFormat="1" applyFont="1" applyFill="1" applyBorder="1"/>
    <xf numFmtId="42" fontId="33" fillId="0" borderId="6" xfId="0" applyNumberFormat="1" applyFont="1" applyBorder="1" applyAlignment="1">
      <alignment horizontal="center"/>
    </xf>
    <xf numFmtId="42" fontId="44" fillId="0" borderId="65" xfId="0" applyNumberFormat="1" applyFont="1" applyBorder="1" applyAlignment="1">
      <alignment horizontal="center" vertical="center"/>
    </xf>
    <xf numFmtId="42" fontId="33" fillId="3" borderId="3" xfId="0" applyNumberFormat="1" applyFont="1" applyFill="1" applyBorder="1" applyAlignment="1">
      <alignment horizontal="center"/>
    </xf>
    <xf numFmtId="42" fontId="33" fillId="3" borderId="28" xfId="0" applyNumberFormat="1" applyFont="1" applyFill="1" applyBorder="1" applyAlignment="1">
      <alignment horizontal="center"/>
    </xf>
    <xf numFmtId="0" fontId="3" fillId="16" borderId="26" xfId="0" applyNumberFormat="1" applyFont="1" applyFill="1" applyBorder="1" applyAlignment="1">
      <alignment horizontal="center"/>
    </xf>
    <xf numFmtId="0" fontId="3" fillId="2" borderId="35" xfId="0" applyFont="1" applyFill="1" applyBorder="1" applyAlignment="1">
      <alignment horizontal="right"/>
    </xf>
    <xf numFmtId="175" fontId="0" fillId="16" borderId="39" xfId="0" applyNumberFormat="1" applyFill="1" applyBorder="1" applyAlignment="1">
      <alignment horizontal="center"/>
    </xf>
    <xf numFmtId="42" fontId="3" fillId="16" borderId="26" xfId="0" applyNumberFormat="1" applyFont="1" applyFill="1" applyBorder="1" applyAlignment="1">
      <alignment horizontal="center"/>
    </xf>
    <xf numFmtId="0" fontId="47" fillId="23" borderId="48" xfId="0" applyFont="1" applyFill="1" applyBorder="1" applyAlignment="1"/>
    <xf numFmtId="0" fontId="47" fillId="23" borderId="19" xfId="0" applyFont="1" applyFill="1" applyBorder="1" applyAlignment="1"/>
    <xf numFmtId="0" fontId="0" fillId="0" borderId="0" xfId="0" applyFont="1" applyBorder="1" applyAlignment="1">
      <alignment horizontal="left" vertical="center" wrapText="1"/>
    </xf>
    <xf numFmtId="0" fontId="3" fillId="2" borderId="28" xfId="0" applyFont="1" applyFill="1" applyBorder="1"/>
    <xf numFmtId="0" fontId="0" fillId="3" borderId="3" xfId="0" applyFont="1" applyFill="1" applyBorder="1" applyAlignment="1">
      <alignment horizontal="center" vertical="center"/>
    </xf>
    <xf numFmtId="0" fontId="0" fillId="0" borderId="28" xfId="0" applyFont="1" applyBorder="1" applyAlignment="1">
      <alignment horizontal="left" vertical="center" wrapText="1"/>
    </xf>
    <xf numFmtId="0" fontId="0" fillId="15" borderId="3" xfId="0" applyFont="1" applyFill="1" applyBorder="1" applyAlignment="1">
      <alignment horizontal="center" vertical="center"/>
    </xf>
    <xf numFmtId="0" fontId="0" fillId="16" borderId="3" xfId="0" applyFont="1" applyFill="1" applyBorder="1" applyAlignment="1">
      <alignment horizontal="center" vertical="center"/>
    </xf>
    <xf numFmtId="0" fontId="0" fillId="2" borderId="3" xfId="0" applyFont="1" applyFill="1" applyBorder="1" applyAlignment="1">
      <alignment horizontal="center" vertical="center"/>
    </xf>
    <xf numFmtId="0" fontId="0" fillId="8" borderId="3" xfId="0" applyFont="1" applyFill="1" applyBorder="1" applyAlignment="1">
      <alignment horizontal="center" vertical="center"/>
    </xf>
    <xf numFmtId="0" fontId="9" fillId="11" borderId="14" xfId="0" applyFont="1" applyFill="1" applyBorder="1" applyAlignment="1">
      <alignment horizontal="center" vertical="center"/>
    </xf>
    <xf numFmtId="0" fontId="0" fillId="0" borderId="30" xfId="0" applyFont="1" applyBorder="1" applyAlignment="1">
      <alignment horizontal="left" vertical="center" wrapText="1"/>
    </xf>
    <xf numFmtId="0" fontId="0" fillId="12" borderId="3" xfId="0" applyFont="1" applyFill="1" applyBorder="1" applyAlignment="1">
      <alignment horizontal="center" vertical="center"/>
    </xf>
    <xf numFmtId="0" fontId="0" fillId="0" borderId="28" xfId="0" quotePrefix="1" applyFont="1" applyBorder="1" applyAlignment="1">
      <alignment wrapText="1"/>
    </xf>
    <xf numFmtId="10" fontId="14" fillId="0" borderId="17" xfId="0" applyNumberFormat="1" applyFont="1" applyFill="1" applyBorder="1" applyAlignment="1">
      <alignment horizontal="center" vertical="center"/>
    </xf>
    <xf numFmtId="42" fontId="14" fillId="0" borderId="43" xfId="0" applyNumberFormat="1" applyFont="1" applyFill="1" applyBorder="1" applyAlignment="1">
      <alignment horizontal="center" vertical="center"/>
    </xf>
    <xf numFmtId="42" fontId="14" fillId="0" borderId="17" xfId="0" applyNumberFormat="1" applyFont="1" applyFill="1" applyBorder="1" applyAlignment="1">
      <alignment horizontal="center" vertical="center"/>
    </xf>
    <xf numFmtId="168" fontId="14" fillId="0" borderId="41" xfId="0" applyNumberFormat="1" applyFont="1" applyFill="1" applyBorder="1" applyAlignment="1">
      <alignment horizontal="center" vertical="center" wrapText="1"/>
    </xf>
    <xf numFmtId="0" fontId="11" fillId="2" borderId="23" xfId="0" applyFont="1" applyFill="1" applyBorder="1" applyAlignment="1">
      <alignment horizontal="center"/>
    </xf>
    <xf numFmtId="0" fontId="11" fillId="2" borderId="22" xfId="0" applyFont="1" applyFill="1" applyBorder="1"/>
    <xf numFmtId="0" fontId="11" fillId="2" borderId="50" xfId="0" applyFont="1" applyFill="1" applyBorder="1"/>
    <xf numFmtId="0" fontId="0" fillId="0" borderId="12" xfId="0" applyFont="1" applyBorder="1"/>
    <xf numFmtId="0" fontId="0" fillId="0" borderId="5" xfId="0" applyFont="1" applyBorder="1" applyAlignment="1">
      <alignment vertical="center" wrapText="1"/>
    </xf>
    <xf numFmtId="0" fontId="33" fillId="0" borderId="13" xfId="0" applyFont="1" applyBorder="1" applyAlignment="1">
      <alignment horizontal="center" vertical="center" wrapText="1"/>
    </xf>
    <xf numFmtId="0" fontId="28" fillId="0" borderId="0" xfId="0" applyFont="1" applyFill="1" applyBorder="1" applyAlignment="1">
      <alignment horizontal="left" vertical="center" wrapText="1"/>
    </xf>
    <xf numFmtId="0" fontId="7" fillId="6" borderId="48" xfId="0" applyFont="1" applyFill="1" applyBorder="1" applyAlignment="1">
      <alignment horizontal="left" vertical="center" wrapText="1"/>
    </xf>
    <xf numFmtId="0" fontId="7" fillId="6" borderId="19" xfId="0" applyFont="1" applyFill="1" applyBorder="1" applyAlignment="1">
      <alignment horizontal="left" vertical="center" wrapText="1"/>
    </xf>
    <xf numFmtId="0" fontId="35" fillId="6" borderId="28" xfId="0" applyFont="1" applyFill="1" applyBorder="1"/>
    <xf numFmtId="0" fontId="0" fillId="0" borderId="76" xfId="0" quotePrefix="1" applyFont="1" applyBorder="1"/>
    <xf numFmtId="0" fontId="0" fillId="0" borderId="7" xfId="0" quotePrefix="1" applyFont="1" applyBorder="1"/>
    <xf numFmtId="0" fontId="0" fillId="0" borderId="68" xfId="0" quotePrefix="1" applyFont="1" applyBorder="1"/>
    <xf numFmtId="0" fontId="0" fillId="0" borderId="8" xfId="0" applyFont="1" applyBorder="1"/>
    <xf numFmtId="0" fontId="0" fillId="0" borderId="26" xfId="0" applyFont="1" applyBorder="1"/>
    <xf numFmtId="0" fontId="0" fillId="0" borderId="70" xfId="0" applyFont="1" applyBorder="1" applyAlignment="1">
      <alignment vertical="center" wrapText="1"/>
    </xf>
    <xf numFmtId="0" fontId="0" fillId="0" borderId="76" xfId="0" applyFont="1" applyBorder="1"/>
    <xf numFmtId="0" fontId="0" fillId="0" borderId="7" xfId="0" quotePrefix="1" applyFont="1" applyBorder="1" applyAlignment="1">
      <alignment vertical="center" wrapText="1"/>
    </xf>
    <xf numFmtId="0" fontId="0" fillId="0" borderId="68" xfId="0" quotePrefix="1" applyFont="1" applyBorder="1" applyAlignment="1">
      <alignment vertical="center" wrapText="1"/>
    </xf>
    <xf numFmtId="0" fontId="44" fillId="6" borderId="19" xfId="0" applyFont="1" applyFill="1" applyBorder="1"/>
    <xf numFmtId="0" fontId="44" fillId="6" borderId="28" xfId="0" applyFont="1" applyFill="1" applyBorder="1"/>
    <xf numFmtId="0" fontId="44" fillId="6" borderId="3" xfId="0" applyFont="1" applyFill="1" applyBorder="1"/>
    <xf numFmtId="0" fontId="33" fillId="6" borderId="22" xfId="0" applyFont="1" applyFill="1" applyBorder="1"/>
    <xf numFmtId="0" fontId="33" fillId="6" borderId="50" xfId="0" applyFont="1" applyFill="1" applyBorder="1"/>
    <xf numFmtId="0" fontId="3" fillId="15" borderId="8" xfId="0" applyFont="1" applyFill="1" applyBorder="1" applyAlignment="1">
      <alignment horizontal="center" vertical="center"/>
    </xf>
    <xf numFmtId="0" fontId="3" fillId="15" borderId="26" xfId="0" applyFont="1" applyFill="1" applyBorder="1" applyAlignment="1">
      <alignment horizontal="center" vertical="center"/>
    </xf>
    <xf numFmtId="0" fontId="33" fillId="6" borderId="23" xfId="0" applyFont="1" applyFill="1" applyBorder="1"/>
    <xf numFmtId="0" fontId="35" fillId="8" borderId="3" xfId="0" applyFont="1" applyFill="1" applyBorder="1" applyAlignment="1">
      <alignment horizontal="center" vertical="center"/>
    </xf>
    <xf numFmtId="0" fontId="0" fillId="0" borderId="7" xfId="0" quotePrefix="1" applyFont="1" applyBorder="1" applyAlignment="1">
      <alignment wrapText="1"/>
    </xf>
    <xf numFmtId="0" fontId="0" fillId="0" borderId="5" xfId="0" applyFont="1" applyBorder="1" applyAlignment="1">
      <alignment vertical="top" wrapText="1"/>
    </xf>
    <xf numFmtId="0" fontId="0" fillId="0" borderId="56" xfId="0" applyBorder="1" applyAlignment="1">
      <alignment horizontal="center" vertical="center"/>
    </xf>
    <xf numFmtId="0" fontId="0" fillId="0" borderId="8" xfId="0" applyBorder="1" applyAlignment="1">
      <alignment vertical="center" wrapText="1"/>
    </xf>
    <xf numFmtId="0" fontId="0" fillId="0" borderId="9" xfId="0" applyBorder="1" applyAlignment="1">
      <alignment vertical="center" wrapText="1"/>
    </xf>
    <xf numFmtId="168" fontId="0" fillId="0" borderId="8" xfId="0" applyNumberFormat="1" applyBorder="1" applyAlignment="1">
      <alignment horizontal="center" vertical="center"/>
    </xf>
    <xf numFmtId="168" fontId="0" fillId="0" borderId="9" xfId="0" applyNumberFormat="1" applyBorder="1" applyAlignment="1">
      <alignment horizontal="center" vertical="center"/>
    </xf>
    <xf numFmtId="42" fontId="0" fillId="0" borderId="9" xfId="0" applyNumberFormat="1" applyBorder="1" applyAlignment="1">
      <alignment horizontal="center" vertical="center"/>
    </xf>
    <xf numFmtId="168" fontId="0" fillId="0" borderId="26" xfId="0" applyNumberFormat="1" applyBorder="1" applyAlignment="1">
      <alignment horizontal="center" vertical="center"/>
    </xf>
    <xf numFmtId="0" fontId="0" fillId="0" borderId="0" xfId="0" applyFont="1" applyBorder="1" applyAlignment="1">
      <alignment horizontal="center" vertical="center"/>
    </xf>
    <xf numFmtId="0" fontId="3" fillId="0" borderId="23" xfId="0" applyFont="1" applyFill="1" applyBorder="1" applyAlignment="1">
      <alignment horizontal="center" vertical="center"/>
    </xf>
    <xf numFmtId="0" fontId="0" fillId="0" borderId="26" xfId="0" applyFont="1" applyFill="1" applyBorder="1" applyAlignment="1">
      <alignment horizontal="center" vertical="center"/>
    </xf>
    <xf numFmtId="0" fontId="3" fillId="3" borderId="22" xfId="0" applyFont="1" applyFill="1" applyBorder="1" applyAlignment="1">
      <alignment vertical="center" wrapText="1"/>
    </xf>
    <xf numFmtId="44" fontId="3" fillId="3" borderId="23" xfId="0" applyNumberFormat="1" applyFont="1" applyFill="1" applyBorder="1" applyAlignment="1">
      <alignment horizontal="center" vertical="center"/>
    </xf>
    <xf numFmtId="0" fontId="0" fillId="0" borderId="8" xfId="0" applyFont="1" applyFill="1" applyBorder="1" applyAlignment="1">
      <alignment horizontal="center" vertical="center"/>
    </xf>
    <xf numFmtId="0" fontId="0" fillId="0" borderId="76" xfId="0" applyFont="1" applyFill="1" applyBorder="1" applyAlignment="1">
      <alignment vertical="center" wrapText="1"/>
    </xf>
    <xf numFmtId="44" fontId="3" fillId="12" borderId="11" xfId="0" applyNumberFormat="1" applyFont="1" applyFill="1" applyBorder="1" applyAlignment="1">
      <alignment vertical="center"/>
    </xf>
    <xf numFmtId="44" fontId="3" fillId="3" borderId="11" xfId="0" applyNumberFormat="1" applyFont="1" applyFill="1" applyBorder="1" applyAlignment="1">
      <alignment vertical="center"/>
    </xf>
    <xf numFmtId="0" fontId="0" fillId="0" borderId="68" xfId="0" applyFont="1" applyFill="1" applyBorder="1" applyAlignment="1">
      <alignment horizontal="left" vertical="center" wrapText="1"/>
    </xf>
    <xf numFmtId="44" fontId="3" fillId="3" borderId="20" xfId="0" applyNumberFormat="1" applyFont="1" applyFill="1" applyBorder="1" applyAlignment="1">
      <alignment vertical="center"/>
    </xf>
    <xf numFmtId="42" fontId="0" fillId="16" borderId="10" xfId="0" applyNumberFormat="1" applyFont="1" applyFill="1" applyBorder="1" applyAlignment="1">
      <alignment horizontal="center"/>
    </xf>
    <xf numFmtId="42" fontId="3" fillId="0" borderId="8" xfId="0" applyNumberFormat="1" applyFont="1" applyFill="1" applyBorder="1" applyAlignment="1">
      <alignment horizontal="center" vertical="center"/>
    </xf>
    <xf numFmtId="42" fontId="0" fillId="16" borderId="10" xfId="0" applyNumberFormat="1" applyFill="1" applyBorder="1" applyAlignment="1">
      <alignment vertical="center"/>
    </xf>
    <xf numFmtId="44" fontId="0" fillId="16" borderId="13" xfId="0" applyNumberFormat="1" applyFont="1" applyFill="1" applyBorder="1" applyAlignment="1">
      <alignment horizontal="center" vertical="center"/>
    </xf>
    <xf numFmtId="44" fontId="0" fillId="16" borderId="21" xfId="0" applyNumberFormat="1" applyFont="1" applyFill="1" applyBorder="1" applyAlignment="1">
      <alignment horizontal="center" vertical="center"/>
    </xf>
    <xf numFmtId="44" fontId="0" fillId="0" borderId="33" xfId="0" applyNumberFormat="1" applyFont="1" applyFill="1" applyBorder="1" applyAlignment="1">
      <alignment horizontal="center" vertical="center"/>
    </xf>
    <xf numFmtId="44" fontId="0" fillId="0" borderId="12" xfId="0" applyNumberFormat="1" applyFont="1" applyFill="1" applyBorder="1" applyAlignment="1">
      <alignment horizontal="center" vertical="center"/>
    </xf>
    <xf numFmtId="44" fontId="14" fillId="16" borderId="34" xfId="0" applyNumberFormat="1" applyFont="1" applyFill="1" applyBorder="1" applyAlignment="1">
      <alignment horizontal="center" vertical="center"/>
    </xf>
    <xf numFmtId="44" fontId="14" fillId="16" borderId="35" xfId="0" applyNumberFormat="1" applyFont="1" applyFill="1" applyBorder="1" applyAlignment="1">
      <alignment horizontal="center" vertical="center"/>
    </xf>
    <xf numFmtId="42" fontId="14" fillId="16" borderId="34" xfId="0" applyNumberFormat="1" applyFont="1" applyFill="1" applyBorder="1" applyAlignment="1">
      <alignment horizontal="center" vertical="center"/>
    </xf>
    <xf numFmtId="42" fontId="14" fillId="16" borderId="35" xfId="0" applyNumberFormat="1" applyFont="1" applyFill="1" applyBorder="1" applyAlignment="1">
      <alignment horizontal="center" vertical="center"/>
    </xf>
    <xf numFmtId="168" fontId="0" fillId="0" borderId="38" xfId="0" applyNumberFormat="1" applyFont="1" applyBorder="1" applyAlignment="1">
      <alignment horizontal="center" vertical="center"/>
    </xf>
    <xf numFmtId="42" fontId="0" fillId="16" borderId="8" xfId="0" applyNumberFormat="1" applyFont="1" applyFill="1" applyBorder="1" applyAlignment="1">
      <alignment horizontal="center" vertical="center"/>
    </xf>
    <xf numFmtId="42" fontId="0" fillId="16" borderId="45" xfId="0" applyNumberFormat="1" applyFont="1" applyFill="1" applyBorder="1" applyAlignment="1">
      <alignment horizontal="center" vertical="center"/>
    </xf>
    <xf numFmtId="168" fontId="0" fillId="0" borderId="37" xfId="0" applyNumberFormat="1" applyFont="1" applyBorder="1" applyAlignment="1">
      <alignment horizontal="center" vertical="center"/>
    </xf>
    <xf numFmtId="42" fontId="0" fillId="16" borderId="9" xfId="0" applyNumberFormat="1" applyFont="1" applyFill="1" applyBorder="1" applyAlignment="1">
      <alignment horizontal="center" vertical="center"/>
    </xf>
    <xf numFmtId="42" fontId="0" fillId="16" borderId="46" xfId="0" applyNumberFormat="1" applyFont="1" applyFill="1" applyBorder="1" applyAlignment="1">
      <alignment horizontal="center" vertical="center"/>
    </xf>
    <xf numFmtId="168" fontId="0" fillId="0" borderId="39" xfId="0" applyNumberFormat="1" applyFont="1" applyBorder="1" applyAlignment="1">
      <alignment horizontal="center" vertical="center"/>
    </xf>
    <xf numFmtId="42" fontId="0" fillId="0" borderId="26" xfId="0" applyNumberFormat="1" applyFont="1" applyBorder="1" applyAlignment="1">
      <alignment horizontal="center" vertical="center"/>
    </xf>
    <xf numFmtId="42" fontId="0" fillId="16" borderId="8" xfId="0" applyNumberFormat="1" applyFont="1" applyFill="1" applyBorder="1" applyAlignment="1">
      <alignment vertical="center"/>
    </xf>
    <xf numFmtId="42" fontId="0" fillId="16" borderId="9" xfId="0" applyNumberFormat="1" applyFont="1" applyFill="1" applyBorder="1" applyAlignment="1">
      <alignment vertical="center"/>
    </xf>
    <xf numFmtId="42" fontId="0" fillId="0" borderId="10" xfId="0" applyNumberFormat="1" applyFont="1" applyBorder="1" applyAlignment="1">
      <alignment vertical="center"/>
    </xf>
    <xf numFmtId="42" fontId="0" fillId="16" borderId="56" xfId="0" applyNumberFormat="1" applyFont="1" applyFill="1" applyBorder="1" applyAlignment="1">
      <alignment horizontal="center" vertical="center"/>
    </xf>
    <xf numFmtId="0" fontId="0" fillId="0" borderId="53" xfId="0" applyFont="1" applyBorder="1" applyAlignment="1">
      <alignment vertical="center"/>
    </xf>
    <xf numFmtId="42" fontId="0" fillId="16" borderId="54" xfId="0" applyNumberFormat="1" applyFont="1" applyFill="1" applyBorder="1" applyAlignment="1">
      <alignment horizontal="center" vertical="center"/>
    </xf>
    <xf numFmtId="0" fontId="0" fillId="0" borderId="54" xfId="0" applyFont="1" applyBorder="1" applyAlignment="1">
      <alignment vertical="center"/>
    </xf>
    <xf numFmtId="42" fontId="0" fillId="0" borderId="57" xfId="0" applyNumberFormat="1" applyFont="1" applyBorder="1" applyAlignment="1">
      <alignment horizontal="center" vertical="center"/>
    </xf>
    <xf numFmtId="0" fontId="0" fillId="0" borderId="55" xfId="0" applyFont="1" applyBorder="1" applyAlignment="1">
      <alignment vertical="center"/>
    </xf>
    <xf numFmtId="41" fontId="0" fillId="16" borderId="8" xfId="0" applyNumberFormat="1" applyFont="1" applyFill="1" applyBorder="1" applyAlignment="1">
      <alignment horizontal="center" vertical="center"/>
    </xf>
    <xf numFmtId="41" fontId="0" fillId="16" borderId="31" xfId="0" applyNumberFormat="1" applyFont="1" applyFill="1" applyBorder="1" applyAlignment="1">
      <alignment horizontal="center" vertical="center"/>
    </xf>
    <xf numFmtId="42" fontId="0" fillId="0" borderId="17" xfId="0" applyNumberFormat="1" applyFont="1" applyBorder="1" applyAlignment="1">
      <alignment horizontal="center" vertical="center"/>
    </xf>
    <xf numFmtId="41" fontId="0" fillId="16" borderId="15" xfId="0" applyNumberFormat="1" applyFont="1" applyFill="1" applyBorder="1" applyAlignment="1">
      <alignment horizontal="center" vertical="center"/>
    </xf>
    <xf numFmtId="41" fontId="0" fillId="16" borderId="69" xfId="0" applyNumberFormat="1" applyFont="1" applyFill="1" applyBorder="1" applyAlignment="1">
      <alignment horizontal="center" vertical="center"/>
    </xf>
    <xf numFmtId="41" fontId="0" fillId="16" borderId="9" xfId="0" applyNumberFormat="1" applyFont="1" applyFill="1" applyBorder="1" applyAlignment="1">
      <alignment horizontal="center" vertical="center"/>
    </xf>
    <xf numFmtId="41" fontId="0" fillId="16" borderId="58" xfId="0" applyNumberFormat="1" applyFont="1" applyFill="1" applyBorder="1" applyAlignment="1">
      <alignment horizontal="center" vertical="center"/>
    </xf>
    <xf numFmtId="41" fontId="0" fillId="0" borderId="26" xfId="0" applyNumberFormat="1" applyFont="1" applyBorder="1" applyAlignment="1">
      <alignment horizontal="center" vertical="center"/>
    </xf>
    <xf numFmtId="41" fontId="0" fillId="0" borderId="32" xfId="0" applyNumberFormat="1" applyFont="1" applyBorder="1" applyAlignment="1">
      <alignment horizontal="center" vertical="center"/>
    </xf>
    <xf numFmtId="42" fontId="0" fillId="16" borderId="33" xfId="0" applyNumberFormat="1" applyFont="1" applyFill="1" applyBorder="1" applyAlignment="1">
      <alignment horizontal="center" vertical="center"/>
    </xf>
    <xf numFmtId="42" fontId="0" fillId="16" borderId="12" xfId="0" applyNumberFormat="1" applyFont="1" applyFill="1" applyBorder="1" applyAlignment="1">
      <alignment horizontal="center" vertical="center"/>
    </xf>
    <xf numFmtId="42" fontId="0" fillId="16" borderId="34" xfId="0" applyNumberFormat="1" applyFont="1" applyFill="1" applyBorder="1" applyAlignment="1">
      <alignment horizontal="center" vertical="center"/>
    </xf>
    <xf numFmtId="42" fontId="0" fillId="16" borderId="13" xfId="0" applyNumberFormat="1" applyFont="1" applyFill="1" applyBorder="1" applyAlignment="1">
      <alignment horizontal="center" vertical="center"/>
    </xf>
    <xf numFmtId="42" fontId="0" fillId="0" borderId="35" xfId="0" applyNumberFormat="1" applyFont="1" applyBorder="1" applyAlignment="1">
      <alignment horizontal="center" vertical="center"/>
    </xf>
    <xf numFmtId="44" fontId="0" fillId="16" borderId="33" xfId="0" applyNumberFormat="1" applyFont="1" applyFill="1" applyBorder="1" applyAlignment="1">
      <alignment horizontal="center" vertical="center"/>
    </xf>
    <xf numFmtId="44" fontId="0" fillId="16" borderId="12" xfId="0" applyNumberFormat="1" applyFont="1" applyFill="1" applyBorder="1" applyAlignment="1">
      <alignment horizontal="center" vertical="center"/>
    </xf>
    <xf numFmtId="44" fontId="14" fillId="16" borderId="43" xfId="0" applyNumberFormat="1" applyFont="1" applyFill="1" applyBorder="1" applyAlignment="1">
      <alignment horizontal="center" vertical="center"/>
    </xf>
    <xf numFmtId="44" fontId="14" fillId="16" borderId="64" xfId="0" applyNumberFormat="1" applyFont="1" applyFill="1" applyBorder="1" applyAlignment="1">
      <alignment horizontal="center" vertical="center"/>
    </xf>
    <xf numFmtId="168" fontId="0" fillId="0" borderId="42" xfId="0" applyNumberFormat="1" applyFont="1" applyBorder="1" applyAlignment="1">
      <alignment horizontal="center" vertical="center"/>
    </xf>
    <xf numFmtId="44" fontId="0" fillId="0" borderId="64" xfId="0" applyNumberFormat="1" applyFont="1" applyFill="1" applyBorder="1" applyAlignment="1">
      <alignment horizontal="center" vertical="center"/>
    </xf>
    <xf numFmtId="44" fontId="0" fillId="0" borderId="65" xfId="0" applyNumberFormat="1" applyFont="1" applyFill="1" applyBorder="1" applyAlignment="1">
      <alignment horizontal="center" vertical="center"/>
    </xf>
    <xf numFmtId="168" fontId="0" fillId="0" borderId="41" xfId="0" applyNumberFormat="1" applyFont="1" applyBorder="1" applyAlignment="1">
      <alignment horizontal="center" vertical="center"/>
    </xf>
    <xf numFmtId="44" fontId="0" fillId="16" borderId="43" xfId="0" applyNumberFormat="1" applyFont="1" applyFill="1" applyBorder="1" applyAlignment="1">
      <alignment horizontal="center" vertical="center"/>
    </xf>
    <xf numFmtId="44" fontId="0" fillId="16" borderId="18" xfId="0" applyNumberFormat="1" applyFont="1" applyFill="1" applyBorder="1" applyAlignment="1">
      <alignment horizontal="center" vertical="center"/>
    </xf>
    <xf numFmtId="165" fontId="0" fillId="0" borderId="43" xfId="0" applyNumberFormat="1" applyFont="1" applyFill="1" applyBorder="1" applyAlignment="1">
      <alignment horizontal="center" vertical="center"/>
    </xf>
    <xf numFmtId="165" fontId="0" fillId="0" borderId="17" xfId="0" applyNumberFormat="1" applyFont="1" applyFill="1" applyBorder="1" applyAlignment="1">
      <alignment horizontal="center" vertical="center"/>
    </xf>
    <xf numFmtId="165" fontId="0" fillId="0" borderId="1" xfId="0" applyNumberFormat="1" applyFont="1" applyFill="1" applyBorder="1" applyAlignment="1">
      <alignment horizontal="center" vertical="center"/>
    </xf>
    <xf numFmtId="165" fontId="0" fillId="16" borderId="34" xfId="0" applyNumberFormat="1" applyFont="1" applyFill="1" applyBorder="1" applyAlignment="1">
      <alignment horizontal="center" vertical="center"/>
    </xf>
    <xf numFmtId="165" fontId="0" fillId="16" borderId="35" xfId="0" applyNumberFormat="1" applyFont="1" applyFill="1" applyBorder="1" applyAlignment="1">
      <alignment horizontal="center" vertical="center"/>
    </xf>
    <xf numFmtId="165" fontId="0" fillId="0" borderId="20" xfId="0" applyNumberFormat="1" applyFont="1" applyFill="1" applyBorder="1" applyAlignment="1">
      <alignment horizontal="center" vertical="center"/>
    </xf>
    <xf numFmtId="165" fontId="0" fillId="0" borderId="21" xfId="0" applyNumberFormat="1" applyFont="1" applyFill="1" applyBorder="1" applyAlignment="1">
      <alignment horizontal="center" vertical="center"/>
    </xf>
    <xf numFmtId="10" fontId="0" fillId="0" borderId="41" xfId="0" applyNumberFormat="1" applyFont="1" applyBorder="1" applyAlignment="1">
      <alignment horizontal="center" vertical="center"/>
    </xf>
    <xf numFmtId="44" fontId="9" fillId="16" borderId="15" xfId="0" applyNumberFormat="1" applyFont="1" applyFill="1" applyBorder="1" applyAlignment="1">
      <alignment horizontal="center" vertical="center"/>
    </xf>
    <xf numFmtId="44" fontId="9" fillId="16" borderId="69" xfId="0" applyNumberFormat="1" applyFont="1" applyFill="1" applyBorder="1" applyAlignment="1">
      <alignment horizontal="center" vertical="center"/>
    </xf>
    <xf numFmtId="44" fontId="14" fillId="16" borderId="7" xfId="0" applyNumberFormat="1" applyFont="1" applyFill="1" applyBorder="1" applyAlignment="1">
      <alignment horizontal="center" vertical="center"/>
    </xf>
    <xf numFmtId="10" fontId="0" fillId="0" borderId="37" xfId="0" applyNumberFormat="1" applyFont="1" applyBorder="1" applyAlignment="1">
      <alignment horizontal="center" vertical="center"/>
    </xf>
    <xf numFmtId="44" fontId="9" fillId="16" borderId="9" xfId="0" applyNumberFormat="1" applyFont="1" applyFill="1" applyBorder="1" applyAlignment="1">
      <alignment horizontal="center" vertical="center"/>
    </xf>
    <xf numFmtId="44" fontId="9" fillId="16" borderId="58" xfId="0" applyNumberFormat="1" applyFont="1" applyFill="1" applyBorder="1" applyAlignment="1">
      <alignment horizontal="center" vertical="center"/>
    </xf>
    <xf numFmtId="44" fontId="14" fillId="16" borderId="68" xfId="0" applyNumberFormat="1" applyFont="1" applyFill="1" applyBorder="1" applyAlignment="1">
      <alignment horizontal="center" vertical="center"/>
    </xf>
    <xf numFmtId="10" fontId="0" fillId="0" borderId="39" xfId="0" applyNumberFormat="1" applyFont="1" applyBorder="1" applyAlignment="1">
      <alignment horizontal="center" vertical="center"/>
    </xf>
    <xf numFmtId="44" fontId="9" fillId="16" borderId="26" xfId="0" applyNumberFormat="1" applyFont="1" applyFill="1" applyBorder="1" applyAlignment="1">
      <alignment horizontal="center" vertical="center"/>
    </xf>
    <xf numFmtId="44" fontId="9" fillId="16" borderId="32" xfId="0" applyNumberFormat="1" applyFont="1" applyFill="1" applyBorder="1" applyAlignment="1">
      <alignment horizontal="center" vertical="center"/>
    </xf>
    <xf numFmtId="0" fontId="0" fillId="0" borderId="33" xfId="0" applyFont="1" applyBorder="1" applyAlignment="1">
      <alignment horizontal="center" vertical="center"/>
    </xf>
    <xf numFmtId="0" fontId="0" fillId="4" borderId="11" xfId="0" applyFont="1" applyFill="1" applyBorder="1" applyAlignment="1">
      <alignment vertical="center"/>
    </xf>
    <xf numFmtId="42" fontId="0" fillId="16" borderId="11" xfId="0" applyNumberFormat="1" applyFont="1" applyFill="1" applyBorder="1" applyAlignment="1">
      <alignment vertical="center"/>
    </xf>
    <xf numFmtId="0" fontId="0" fillId="0" borderId="34" xfId="0" applyFont="1" applyBorder="1" applyAlignment="1">
      <alignment horizontal="center" vertical="center"/>
    </xf>
    <xf numFmtId="42" fontId="0" fillId="16" borderId="1" xfId="0" applyNumberFormat="1" applyFont="1" applyFill="1" applyBorder="1" applyAlignment="1">
      <alignment vertical="center"/>
    </xf>
    <xf numFmtId="0" fontId="0" fillId="0" borderId="64" xfId="0" applyFont="1" applyBorder="1" applyAlignment="1">
      <alignment horizontal="center" vertical="center"/>
    </xf>
    <xf numFmtId="42" fontId="0" fillId="16" borderId="11" xfId="0" applyNumberFormat="1" applyFont="1" applyFill="1" applyBorder="1" applyAlignment="1">
      <alignment horizontal="center" vertical="center"/>
    </xf>
    <xf numFmtId="42" fontId="0" fillId="16" borderId="1" xfId="0" applyNumberFormat="1" applyFont="1" applyFill="1" applyBorder="1" applyAlignment="1">
      <alignment horizontal="center" vertical="center"/>
    </xf>
    <xf numFmtId="42" fontId="0" fillId="0" borderId="1" xfId="0" quotePrefix="1" applyNumberFormat="1" applyFont="1" applyBorder="1" applyAlignment="1">
      <alignment vertical="center"/>
    </xf>
    <xf numFmtId="0" fontId="0" fillId="4" borderId="1" xfId="0" applyFont="1" applyFill="1" applyBorder="1" applyAlignment="1">
      <alignment vertical="center" wrapText="1"/>
    </xf>
    <xf numFmtId="0" fontId="0" fillId="0" borderId="35" xfId="0" applyFont="1" applyBorder="1" applyAlignment="1">
      <alignment horizontal="center" vertical="center"/>
    </xf>
    <xf numFmtId="44" fontId="51" fillId="0" borderId="20" xfId="0" applyNumberFormat="1" applyFont="1" applyBorder="1" applyAlignment="1">
      <alignment vertical="center"/>
    </xf>
    <xf numFmtId="44" fontId="51" fillId="0" borderId="6" xfId="0" applyNumberFormat="1" applyFont="1" applyBorder="1" applyAlignment="1">
      <alignment vertical="center"/>
    </xf>
    <xf numFmtId="0" fontId="6" fillId="0" borderId="1" xfId="0" applyFont="1" applyBorder="1" applyAlignment="1">
      <alignment vertical="center" wrapText="1"/>
    </xf>
    <xf numFmtId="42" fontId="0" fillId="16" borderId="3" xfId="0" applyNumberFormat="1" applyFont="1" applyFill="1" applyBorder="1" applyAlignment="1">
      <alignment vertical="center"/>
    </xf>
    <xf numFmtId="42" fontId="9" fillId="16" borderId="11" xfId="0" applyNumberFormat="1" applyFont="1" applyFill="1" applyBorder="1" applyAlignment="1">
      <alignment horizontal="center" vertical="center"/>
    </xf>
    <xf numFmtId="44" fontId="9" fillId="16" borderId="13" xfId="0" applyNumberFormat="1" applyFont="1" applyFill="1" applyBorder="1" applyAlignment="1">
      <alignment horizontal="left" vertical="center" wrapText="1"/>
    </xf>
    <xf numFmtId="44" fontId="9" fillId="16" borderId="65" xfId="0" applyNumberFormat="1" applyFont="1" applyFill="1" applyBorder="1" applyAlignment="1">
      <alignment horizontal="left" vertical="center" wrapText="1"/>
    </xf>
    <xf numFmtId="44" fontId="9" fillId="16" borderId="18" xfId="0" applyNumberFormat="1" applyFont="1" applyFill="1" applyBorder="1" applyAlignment="1">
      <alignment horizontal="left" vertical="center" wrapText="1"/>
    </xf>
    <xf numFmtId="44" fontId="9" fillId="16" borderId="21" xfId="0" applyNumberFormat="1" applyFont="1" applyFill="1" applyBorder="1" applyAlignment="1">
      <alignment horizontal="left" vertical="center" wrapText="1"/>
    </xf>
    <xf numFmtId="0" fontId="0" fillId="0" borderId="56" xfId="0" applyFont="1" applyBorder="1" applyAlignment="1">
      <alignment horizontal="center" wrapText="1"/>
    </xf>
    <xf numFmtId="0" fontId="0" fillId="0" borderId="54" xfId="0" applyFont="1" applyBorder="1" applyAlignment="1">
      <alignment horizontal="center" wrapText="1"/>
    </xf>
    <xf numFmtId="0" fontId="0" fillId="0" borderId="57" xfId="0" applyFont="1" applyBorder="1" applyAlignment="1">
      <alignment horizontal="center" wrapText="1"/>
    </xf>
    <xf numFmtId="172" fontId="0" fillId="16" borderId="69" xfId="0" applyNumberFormat="1" applyFont="1" applyFill="1" applyBorder="1" applyAlignment="1">
      <alignment horizontal="center" vertical="center"/>
    </xf>
    <xf numFmtId="0" fontId="0" fillId="16" borderId="69" xfId="0" applyFont="1" applyFill="1" applyBorder="1" applyAlignment="1">
      <alignment horizontal="center" vertical="center"/>
    </xf>
    <xf numFmtId="0" fontId="0" fillId="16" borderId="18" xfId="0" applyFont="1" applyFill="1" applyBorder="1" applyAlignment="1">
      <alignment horizontal="center" vertical="center"/>
    </xf>
    <xf numFmtId="172" fontId="0" fillId="16" borderId="58" xfId="0" applyNumberFormat="1" applyFont="1" applyFill="1" applyBorder="1" applyAlignment="1">
      <alignment horizontal="center" vertical="center"/>
    </xf>
    <xf numFmtId="0" fontId="0" fillId="16" borderId="58" xfId="0" applyFont="1" applyFill="1" applyBorder="1" applyAlignment="1">
      <alignment horizontal="center" vertical="center"/>
    </xf>
    <xf numFmtId="0" fontId="0" fillId="16" borderId="13" xfId="0" applyFont="1" applyFill="1" applyBorder="1" applyAlignment="1">
      <alignment horizontal="center" vertical="center"/>
    </xf>
    <xf numFmtId="172" fontId="0" fillId="16" borderId="32" xfId="0" applyNumberFormat="1" applyFont="1" applyFill="1" applyBorder="1" applyAlignment="1">
      <alignment horizontal="center" vertical="center"/>
    </xf>
    <xf numFmtId="0" fontId="0" fillId="16" borderId="32" xfId="0" applyFont="1" applyFill="1" applyBorder="1" applyAlignment="1">
      <alignment horizontal="center" vertical="center"/>
    </xf>
    <xf numFmtId="0" fontId="0" fillId="16" borderId="21" xfId="0" applyFont="1" applyFill="1" applyBorder="1" applyAlignment="1">
      <alignment horizontal="center" vertical="center"/>
    </xf>
    <xf numFmtId="44" fontId="0" fillId="16" borderId="15" xfId="0" applyNumberFormat="1" applyFont="1" applyFill="1" applyBorder="1" applyAlignment="1">
      <alignment horizontal="center" vertical="center"/>
    </xf>
    <xf numFmtId="44" fontId="0" fillId="0" borderId="43" xfId="0" applyNumberFormat="1" applyFont="1" applyBorder="1" applyAlignment="1">
      <alignment vertical="center"/>
    </xf>
    <xf numFmtId="44" fontId="0" fillId="0" borderId="18" xfId="0" applyNumberFormat="1" applyFont="1" applyBorder="1" applyAlignment="1">
      <alignment vertical="center"/>
    </xf>
    <xf numFmtId="10" fontId="0" fillId="0" borderId="16" xfId="0" applyNumberFormat="1" applyFont="1" applyBorder="1" applyAlignment="1">
      <alignment horizontal="center" vertical="center"/>
    </xf>
    <xf numFmtId="0" fontId="0" fillId="0" borderId="17" xfId="0" applyFont="1" applyBorder="1" applyAlignment="1">
      <alignment horizontal="center" vertical="center"/>
    </xf>
    <xf numFmtId="44" fontId="0" fillId="0" borderId="17" xfId="0" applyNumberFormat="1" applyFont="1" applyBorder="1" applyAlignment="1">
      <alignment horizontal="center" vertical="center"/>
    </xf>
    <xf numFmtId="44" fontId="0" fillId="16" borderId="9" xfId="0" applyNumberFormat="1" applyFont="1" applyFill="1" applyBorder="1" applyAlignment="1">
      <alignment horizontal="center" vertical="center"/>
    </xf>
    <xf numFmtId="44" fontId="0" fillId="0" borderId="13" xfId="0" applyNumberFormat="1" applyFont="1" applyBorder="1" applyAlignment="1">
      <alignment vertical="center"/>
    </xf>
    <xf numFmtId="10" fontId="0" fillId="0" borderId="7" xfId="0" applyNumberFormat="1" applyFont="1" applyBorder="1" applyAlignment="1">
      <alignment horizontal="center" vertical="center"/>
    </xf>
    <xf numFmtId="0" fontId="0" fillId="0" borderId="1" xfId="0" applyFont="1" applyBorder="1" applyAlignment="1">
      <alignment horizontal="center" vertical="center"/>
    </xf>
    <xf numFmtId="44" fontId="0" fillId="0" borderId="1" xfId="0" applyNumberFormat="1" applyFont="1" applyBorder="1" applyAlignment="1">
      <alignment horizontal="center" vertical="center"/>
    </xf>
    <xf numFmtId="44" fontId="0" fillId="16" borderId="10" xfId="0" applyNumberFormat="1" applyFont="1" applyFill="1" applyBorder="1" applyAlignment="1">
      <alignment horizontal="center" vertical="center"/>
    </xf>
    <xf numFmtId="44" fontId="0" fillId="0" borderId="21" xfId="0" applyNumberFormat="1" applyFont="1" applyBorder="1" applyAlignment="1">
      <alignment vertical="center"/>
    </xf>
    <xf numFmtId="10" fontId="0" fillId="0" borderId="68" xfId="0" applyNumberFormat="1" applyFont="1" applyBorder="1" applyAlignment="1">
      <alignment horizontal="center" vertical="center"/>
    </xf>
    <xf numFmtId="0" fontId="0" fillId="0" borderId="20" xfId="0" applyFont="1" applyBorder="1" applyAlignment="1">
      <alignment horizontal="center" vertical="center"/>
    </xf>
    <xf numFmtId="44" fontId="0" fillId="0" borderId="20" xfId="0" applyNumberFormat="1" applyFont="1" applyBorder="1" applyAlignment="1">
      <alignment horizontal="center" vertical="center"/>
    </xf>
    <xf numFmtId="44" fontId="0" fillId="0" borderId="43" xfId="0" applyNumberFormat="1" applyFont="1" applyBorder="1" applyAlignment="1">
      <alignment horizontal="center" vertical="center"/>
    </xf>
    <xf numFmtId="44" fontId="0" fillId="0" borderId="18" xfId="0" applyNumberFormat="1" applyFont="1" applyBorder="1" applyAlignment="1">
      <alignment horizontal="center" vertical="center"/>
    </xf>
    <xf numFmtId="44" fontId="0" fillId="0" borderId="13" xfId="0" applyNumberFormat="1" applyFont="1" applyBorder="1" applyAlignment="1">
      <alignment horizontal="center" vertical="center"/>
    </xf>
    <xf numFmtId="44" fontId="0" fillId="0" borderId="21" xfId="0" applyNumberFormat="1" applyFont="1" applyBorder="1" applyAlignment="1">
      <alignment horizontal="center" vertical="center"/>
    </xf>
    <xf numFmtId="44" fontId="0" fillId="16" borderId="9" xfId="0" applyNumberFormat="1" applyFont="1" applyFill="1" applyBorder="1" applyAlignment="1">
      <alignment vertical="center"/>
    </xf>
    <xf numFmtId="42" fontId="0" fillId="16" borderId="48" xfId="0" applyNumberFormat="1" applyFont="1" applyFill="1" applyBorder="1" applyAlignment="1">
      <alignment vertical="center"/>
    </xf>
    <xf numFmtId="44" fontId="0" fillId="16" borderId="8" xfId="0" applyNumberFormat="1" applyFont="1" applyFill="1" applyBorder="1" applyAlignment="1">
      <alignment vertical="center"/>
    </xf>
    <xf numFmtId="166" fontId="0" fillId="16" borderId="3" xfId="0" applyNumberFormat="1" applyFont="1" applyFill="1" applyBorder="1" applyAlignment="1">
      <alignment horizontal="center" vertical="center"/>
    </xf>
    <xf numFmtId="44" fontId="0" fillId="16" borderId="26" xfId="0" applyNumberFormat="1" applyFont="1" applyFill="1" applyBorder="1" applyAlignment="1">
      <alignment vertical="center"/>
    </xf>
    <xf numFmtId="44" fontId="0" fillId="16" borderId="48" xfId="0" applyNumberFormat="1" applyFont="1" applyFill="1" applyBorder="1" applyAlignment="1">
      <alignment vertical="center"/>
    </xf>
    <xf numFmtId="44" fontId="0" fillId="16" borderId="3" xfId="0" quotePrefix="1" applyNumberFormat="1" applyFont="1" applyFill="1" applyBorder="1" applyAlignment="1">
      <alignment vertical="center"/>
    </xf>
    <xf numFmtId="44" fontId="0" fillId="16" borderId="26" xfId="0" applyNumberFormat="1" applyFont="1" applyFill="1" applyBorder="1" applyAlignment="1">
      <alignment horizontal="center" vertical="center"/>
    </xf>
    <xf numFmtId="44" fontId="0" fillId="16" borderId="20" xfId="0" applyNumberFormat="1" applyFont="1" applyFill="1" applyBorder="1" applyAlignment="1">
      <alignment vertical="center"/>
    </xf>
    <xf numFmtId="169" fontId="0" fillId="16" borderId="32" xfId="0" applyNumberFormat="1" applyFont="1" applyFill="1" applyBorder="1" applyAlignment="1">
      <alignment horizontal="center" vertical="center"/>
    </xf>
    <xf numFmtId="170" fontId="0" fillId="16" borderId="8" xfId="0" applyNumberFormat="1" applyFont="1" applyFill="1" applyBorder="1" applyAlignment="1">
      <alignment horizontal="center" vertical="center"/>
    </xf>
    <xf numFmtId="170" fontId="0" fillId="16" borderId="9" xfId="0" applyNumberFormat="1" applyFont="1" applyFill="1" applyBorder="1" applyAlignment="1">
      <alignment horizontal="center" vertical="center"/>
    </xf>
    <xf numFmtId="170" fontId="0" fillId="16" borderId="26" xfId="0" applyNumberFormat="1" applyFont="1" applyFill="1" applyBorder="1" applyAlignment="1">
      <alignment horizontal="center" vertical="center"/>
    </xf>
    <xf numFmtId="1" fontId="0" fillId="16" borderId="9" xfId="0" applyNumberFormat="1" applyFont="1" applyFill="1" applyBorder="1" applyAlignment="1">
      <alignment horizontal="center" vertical="center"/>
    </xf>
    <xf numFmtId="169" fontId="0" fillId="16" borderId="18" xfId="0" applyNumberFormat="1" applyFont="1" applyFill="1" applyBorder="1" applyAlignment="1">
      <alignment horizontal="center" vertical="center"/>
    </xf>
    <xf numFmtId="169" fontId="0" fillId="16" borderId="21" xfId="0" applyNumberFormat="1" applyFont="1" applyFill="1" applyBorder="1" applyAlignment="1">
      <alignment horizontal="center" vertical="center"/>
    </xf>
    <xf numFmtId="169" fontId="0" fillId="16" borderId="8" xfId="0" applyNumberFormat="1" applyFont="1" applyFill="1" applyBorder="1" applyAlignment="1">
      <alignment horizontal="center" vertical="center"/>
    </xf>
    <xf numFmtId="169" fontId="0" fillId="16" borderId="26" xfId="0" applyNumberFormat="1" applyFont="1" applyFill="1" applyBorder="1" applyAlignment="1">
      <alignment horizontal="center" vertical="center"/>
    </xf>
    <xf numFmtId="42" fontId="0" fillId="16" borderId="26" xfId="0" applyNumberFormat="1" applyFont="1" applyFill="1" applyBorder="1" applyAlignment="1">
      <alignment vertical="center"/>
    </xf>
    <xf numFmtId="42" fontId="9" fillId="16" borderId="10" xfId="0" applyNumberFormat="1" applyFont="1" applyFill="1" applyBorder="1" applyAlignment="1">
      <alignment vertical="center"/>
    </xf>
    <xf numFmtId="42" fontId="9" fillId="16" borderId="5" xfId="0" applyNumberFormat="1" applyFont="1" applyFill="1" applyBorder="1" applyAlignment="1">
      <alignment vertical="center"/>
    </xf>
    <xf numFmtId="44" fontId="0" fillId="16" borderId="36" xfId="0" applyNumberFormat="1" applyFont="1" applyFill="1" applyBorder="1" applyAlignment="1">
      <alignment horizontal="center" vertical="center"/>
    </xf>
    <xf numFmtId="169" fontId="0" fillId="16" borderId="43" xfId="0" applyNumberFormat="1" applyFont="1" applyFill="1" applyBorder="1" applyAlignment="1">
      <alignment horizontal="center" vertical="center"/>
    </xf>
    <xf numFmtId="169" fontId="0" fillId="16" borderId="35" xfId="0" applyNumberFormat="1" applyFont="1" applyFill="1" applyBorder="1" applyAlignment="1">
      <alignment horizontal="center" vertical="center"/>
    </xf>
    <xf numFmtId="42" fontId="0" fillId="0" borderId="10" xfId="0" applyNumberFormat="1" applyFill="1" applyBorder="1" applyAlignment="1">
      <alignment vertical="center"/>
    </xf>
    <xf numFmtId="44" fontId="3" fillId="3" borderId="48" xfId="0" applyNumberFormat="1" applyFont="1" applyFill="1" applyBorder="1" applyAlignment="1">
      <alignment horizontal="center" vertical="center"/>
    </xf>
    <xf numFmtId="0" fontId="3" fillId="2" borderId="19" xfId="0" applyFont="1" applyFill="1" applyBorder="1" applyAlignment="1">
      <alignment horizontal="center" vertical="center"/>
    </xf>
    <xf numFmtId="0" fontId="0" fillId="0" borderId="0" xfId="0" applyAlignment="1">
      <alignment vertical="center"/>
    </xf>
    <xf numFmtId="0" fontId="0" fillId="0" borderId="46" xfId="0" applyBorder="1" applyAlignment="1">
      <alignment vertical="center"/>
    </xf>
    <xf numFmtId="0" fontId="0" fillId="0" borderId="44" xfId="0" applyBorder="1" applyAlignment="1">
      <alignment horizontal="center" vertical="center"/>
    </xf>
    <xf numFmtId="0" fontId="0" fillId="0" borderId="26" xfId="0" quotePrefix="1" applyBorder="1" applyAlignment="1">
      <alignment vertical="center" wrapText="1"/>
    </xf>
    <xf numFmtId="0" fontId="0" fillId="0" borderId="3" xfId="0" applyBorder="1" applyAlignment="1">
      <alignment vertical="center" wrapText="1"/>
    </xf>
    <xf numFmtId="168" fontId="0" fillId="0" borderId="28" xfId="0" applyNumberFormat="1" applyBorder="1" applyAlignment="1">
      <alignment horizontal="center" vertical="center"/>
    </xf>
    <xf numFmtId="0" fontId="0" fillId="0" borderId="0" xfId="0" applyFill="1" applyBorder="1" applyAlignment="1">
      <alignment vertical="center" wrapText="1"/>
    </xf>
    <xf numFmtId="44" fontId="3" fillId="0" borderId="0" xfId="0" applyNumberFormat="1" applyFont="1" applyFill="1" applyBorder="1" applyAlignment="1">
      <alignment vertical="center"/>
    </xf>
    <xf numFmtId="0" fontId="0" fillId="0" borderId="47" xfId="0" applyFill="1" applyBorder="1" applyAlignment="1">
      <alignment vertical="top" wrapText="1"/>
    </xf>
    <xf numFmtId="6" fontId="14" fillId="0" borderId="70" xfId="0" applyNumberFormat="1" applyFont="1" applyBorder="1" applyAlignment="1">
      <alignment horizontal="left" vertical="center" wrapText="1" indent="1"/>
    </xf>
    <xf numFmtId="0" fontId="15" fillId="2" borderId="3" xfId="0" applyFont="1" applyFill="1" applyBorder="1" applyAlignment="1">
      <alignment horizontal="left" vertical="center" wrapText="1" indent="1"/>
    </xf>
    <xf numFmtId="0" fontId="15" fillId="0" borderId="3" xfId="0" applyFont="1" applyBorder="1" applyAlignment="1">
      <alignment horizontal="left" vertical="center" indent="1"/>
    </xf>
    <xf numFmtId="42" fontId="9" fillId="16" borderId="23" xfId="0" applyNumberFormat="1" applyFont="1" applyFill="1" applyBorder="1" applyAlignment="1">
      <alignment horizontal="center"/>
    </xf>
    <xf numFmtId="42" fontId="9" fillId="16" borderId="10" xfId="0" applyNumberFormat="1" applyFont="1" applyFill="1" applyBorder="1" applyAlignment="1">
      <alignment horizontal="center"/>
    </xf>
    <xf numFmtId="42" fontId="9" fillId="16" borderId="26" xfId="0" applyNumberFormat="1" applyFont="1" applyFill="1" applyBorder="1" applyAlignment="1">
      <alignment horizontal="center"/>
    </xf>
    <xf numFmtId="0" fontId="0" fillId="0" borderId="0" xfId="0" applyAlignment="1">
      <alignment vertical="center"/>
    </xf>
    <xf numFmtId="44" fontId="0" fillId="18" borderId="9" xfId="0" applyNumberFormat="1" applyFill="1" applyBorder="1" applyAlignment="1">
      <alignment horizontal="center" vertical="center"/>
    </xf>
    <xf numFmtId="0" fontId="28" fillId="0" borderId="0" xfId="0" applyFont="1" applyAlignment="1">
      <alignment vertical="center"/>
    </xf>
    <xf numFmtId="168" fontId="0" fillId="12" borderId="3" xfId="0" applyNumberFormat="1" applyFill="1" applyBorder="1" applyAlignment="1">
      <alignment horizontal="center" vertical="center"/>
    </xf>
    <xf numFmtId="175" fontId="0" fillId="0" borderId="0" xfId="0" applyNumberFormat="1" applyBorder="1" applyAlignment="1">
      <alignment horizontal="center"/>
    </xf>
    <xf numFmtId="0" fontId="0" fillId="0" borderId="0" xfId="0" applyBorder="1"/>
    <xf numFmtId="0" fontId="49" fillId="0" borderId="0" xfId="0" applyFont="1" applyBorder="1"/>
    <xf numFmtId="0" fontId="33" fillId="6" borderId="36" xfId="0" applyFont="1" applyFill="1" applyBorder="1"/>
    <xf numFmtId="0" fontId="33" fillId="6" borderId="5" xfId="0" applyFont="1" applyFill="1" applyBorder="1"/>
    <xf numFmtId="0" fontId="0" fillId="0" borderId="36" xfId="0" applyFont="1" applyBorder="1"/>
    <xf numFmtId="0" fontId="0" fillId="0" borderId="0" xfId="0" applyAlignment="1">
      <alignment vertical="center"/>
    </xf>
    <xf numFmtId="0" fontId="0" fillId="0" borderId="40" xfId="0" applyBorder="1" applyAlignment="1">
      <alignment vertical="center"/>
    </xf>
    <xf numFmtId="44" fontId="3" fillId="2" borderId="19" xfId="0" applyNumberFormat="1" applyFont="1" applyFill="1" applyBorder="1" applyAlignment="1">
      <alignment horizontal="center" vertical="center"/>
    </xf>
    <xf numFmtId="0" fontId="0" fillId="0" borderId="36" xfId="0" applyBorder="1" applyAlignment="1">
      <alignment horizontal="center" vertical="center"/>
    </xf>
    <xf numFmtId="44" fontId="0" fillId="3" borderId="70" xfId="0" applyNumberFormat="1" applyFill="1" applyBorder="1" applyAlignment="1">
      <alignment vertical="center"/>
    </xf>
    <xf numFmtId="44" fontId="3" fillId="12" borderId="40" xfId="0" applyNumberFormat="1" applyFont="1" applyFill="1" applyBorder="1" applyAlignment="1">
      <alignment horizontal="center" vertical="center"/>
    </xf>
    <xf numFmtId="44" fontId="0" fillId="3" borderId="3" xfId="0" applyNumberFormat="1" applyFill="1" applyBorder="1" applyAlignment="1">
      <alignment vertical="center"/>
    </xf>
    <xf numFmtId="44" fontId="3" fillId="0" borderId="0" xfId="0" applyNumberFormat="1" applyFont="1" applyAlignment="1">
      <alignment horizontal="center" vertical="center"/>
    </xf>
    <xf numFmtId="42" fontId="3" fillId="16" borderId="36" xfId="0" applyNumberFormat="1" applyFont="1" applyFill="1" applyBorder="1" applyAlignment="1">
      <alignment horizontal="center" vertical="center"/>
    </xf>
    <xf numFmtId="0" fontId="0" fillId="0" borderId="1" xfId="0" applyFont="1" applyBorder="1"/>
    <xf numFmtId="42" fontId="3" fillId="25" borderId="47" xfId="0" applyNumberFormat="1" applyFont="1" applyFill="1" applyBorder="1" applyAlignment="1">
      <alignment horizontal="center" vertical="center"/>
    </xf>
    <xf numFmtId="42" fontId="3" fillId="10" borderId="3" xfId="0" applyNumberFormat="1" applyFont="1" applyFill="1" applyBorder="1" applyAlignment="1">
      <alignment horizontal="center"/>
    </xf>
    <xf numFmtId="0" fontId="0" fillId="0" borderId="5" xfId="0" applyBorder="1" applyAlignment="1">
      <alignment wrapText="1"/>
    </xf>
    <xf numFmtId="0" fontId="0" fillId="16" borderId="7" xfId="0" applyFill="1" applyBorder="1" applyAlignment="1"/>
    <xf numFmtId="0" fontId="0" fillId="16" borderId="1" xfId="0" applyFill="1" applyBorder="1" applyAlignment="1"/>
    <xf numFmtId="0" fontId="0" fillId="16" borderId="37" xfId="0" applyFill="1" applyBorder="1" applyAlignment="1"/>
    <xf numFmtId="0" fontId="2" fillId="2" borderId="40" xfId="0" applyFont="1" applyFill="1" applyBorder="1" applyAlignment="1"/>
    <xf numFmtId="0" fontId="0" fillId="0" borderId="19" xfId="0" applyBorder="1" applyAlignment="1"/>
    <xf numFmtId="0" fontId="0" fillId="0" borderId="70" xfId="0" applyBorder="1" applyAlignment="1"/>
    <xf numFmtId="0" fontId="3" fillId="15" borderId="25" xfId="0" applyFont="1" applyFill="1" applyBorder="1" applyAlignment="1">
      <alignment horizontal="right"/>
    </xf>
    <xf numFmtId="0" fontId="0" fillId="15" borderId="25" xfId="0" applyFill="1" applyBorder="1" applyAlignment="1"/>
    <xf numFmtId="0" fontId="0" fillId="16" borderId="76" xfId="0" applyFill="1" applyBorder="1" applyAlignment="1"/>
    <xf numFmtId="0" fontId="0" fillId="16" borderId="11" xfId="0" applyFill="1" applyBorder="1" applyAlignment="1"/>
    <xf numFmtId="0" fontId="0" fillId="16" borderId="38" xfId="0" applyFill="1" applyBorder="1" applyAlignment="1"/>
    <xf numFmtId="0" fontId="0" fillId="16" borderId="68" xfId="0" applyFill="1" applyBorder="1" applyAlignment="1"/>
    <xf numFmtId="0" fontId="0" fillId="16" borderId="20" xfId="0" applyFill="1" applyBorder="1" applyAlignment="1"/>
    <xf numFmtId="0" fontId="0" fillId="16" borderId="39" xfId="0" applyFill="1" applyBorder="1" applyAlignment="1"/>
    <xf numFmtId="0" fontId="9" fillId="16" borderId="7" xfId="0" applyFont="1" applyFill="1" applyBorder="1" applyAlignment="1"/>
    <xf numFmtId="0" fontId="9" fillId="16" borderId="1" xfId="0" applyFont="1" applyFill="1" applyBorder="1" applyAlignment="1"/>
    <xf numFmtId="0" fontId="9" fillId="16" borderId="37" xfId="0" applyFont="1" applyFill="1" applyBorder="1" applyAlignment="1"/>
    <xf numFmtId="0" fontId="7" fillId="6" borderId="48" xfId="0" applyFont="1" applyFill="1" applyBorder="1" applyAlignment="1"/>
    <xf numFmtId="0" fontId="0" fillId="0" borderId="28" xfId="0" applyBorder="1" applyAlignment="1"/>
    <xf numFmtId="0" fontId="2" fillId="0" borderId="19" xfId="0" applyFont="1" applyBorder="1" applyAlignment="1"/>
    <xf numFmtId="0" fontId="2" fillId="0" borderId="28" xfId="0" applyFont="1" applyBorder="1" applyAlignment="1"/>
    <xf numFmtId="0" fontId="33" fillId="6" borderId="48" xfId="0" applyFont="1" applyFill="1" applyBorder="1" applyAlignment="1"/>
    <xf numFmtId="0" fontId="3" fillId="0" borderId="19" xfId="0" applyFont="1" applyBorder="1" applyAlignment="1"/>
    <xf numFmtId="0" fontId="3" fillId="0" borderId="28" xfId="0" applyFont="1" applyBorder="1" applyAlignment="1"/>
    <xf numFmtId="0" fontId="41" fillId="23" borderId="48" xfId="0" applyFont="1" applyFill="1" applyBorder="1" applyAlignment="1"/>
    <xf numFmtId="0" fontId="3" fillId="2" borderId="48" xfId="0" applyFont="1" applyFill="1" applyBorder="1" applyAlignment="1">
      <alignment horizontal="right"/>
    </xf>
    <xf numFmtId="0" fontId="0" fillId="0" borderId="28" xfId="0" applyBorder="1" applyAlignment="1">
      <alignment horizontal="right"/>
    </xf>
    <xf numFmtId="42" fontId="45" fillId="16" borderId="48" xfId="0" applyNumberFormat="1" applyFont="1" applyFill="1" applyBorder="1" applyAlignment="1">
      <alignment horizontal="left"/>
    </xf>
    <xf numFmtId="0" fontId="45" fillId="16" borderId="28" xfId="0" applyFont="1" applyFill="1" applyBorder="1" applyAlignment="1">
      <alignment horizontal="left"/>
    </xf>
    <xf numFmtId="0" fontId="33" fillId="0" borderId="48" xfId="0" quotePrefix="1" applyFont="1" applyBorder="1" applyAlignment="1">
      <alignment horizontal="center"/>
    </xf>
    <xf numFmtId="0" fontId="0" fillId="0" borderId="19" xfId="0" applyBorder="1" applyAlignment="1">
      <alignment horizontal="center"/>
    </xf>
    <xf numFmtId="0" fontId="0" fillId="0" borderId="28" xfId="0" applyBorder="1" applyAlignment="1">
      <alignment horizontal="center"/>
    </xf>
    <xf numFmtId="0" fontId="0" fillId="16" borderId="41" xfId="0" applyFill="1" applyBorder="1" applyAlignment="1"/>
    <xf numFmtId="0" fontId="0" fillId="16" borderId="71" xfId="0" applyFill="1" applyBorder="1" applyAlignment="1"/>
    <xf numFmtId="0" fontId="0" fillId="16" borderId="16" xfId="0" applyFill="1" applyBorder="1" applyAlignment="1"/>
    <xf numFmtId="0" fontId="0" fillId="16" borderId="46" xfId="0" applyFill="1" applyBorder="1" applyAlignment="1"/>
    <xf numFmtId="0" fontId="0" fillId="16" borderId="47" xfId="0" applyFill="1" applyBorder="1" applyAlignment="1"/>
    <xf numFmtId="0" fontId="3" fillId="3" borderId="40" xfId="0" applyFont="1" applyFill="1" applyBorder="1" applyAlignment="1">
      <alignment horizontal="right"/>
    </xf>
    <xf numFmtId="0" fontId="3" fillId="3" borderId="19" xfId="0" applyFont="1" applyFill="1" applyBorder="1" applyAlignment="1">
      <alignment horizontal="right"/>
    </xf>
    <xf numFmtId="0" fontId="3" fillId="3" borderId="70" xfId="0" applyFont="1" applyFill="1" applyBorder="1" applyAlignment="1">
      <alignment horizontal="right"/>
    </xf>
    <xf numFmtId="0" fontId="35" fillId="16" borderId="34" xfId="0" applyFont="1" applyFill="1" applyBorder="1" applyAlignment="1">
      <alignment horizontal="right"/>
    </xf>
    <xf numFmtId="0" fontId="35" fillId="16" borderId="1" xfId="0" applyFont="1" applyFill="1" applyBorder="1" applyAlignment="1">
      <alignment horizontal="right"/>
    </xf>
    <xf numFmtId="0" fontId="35" fillId="16" borderId="35" xfId="0" applyFont="1" applyFill="1" applyBorder="1" applyAlignment="1">
      <alignment horizontal="right"/>
    </xf>
    <xf numFmtId="0" fontId="35" fillId="16" borderId="20" xfId="0" applyFont="1" applyFill="1" applyBorder="1" applyAlignment="1">
      <alignment horizontal="right"/>
    </xf>
    <xf numFmtId="0" fontId="49" fillId="18" borderId="61" xfId="0" applyFont="1" applyFill="1" applyBorder="1" applyAlignment="1">
      <alignment horizontal="center" vertical="center"/>
    </xf>
    <xf numFmtId="0" fontId="49" fillId="0" borderId="2" xfId="0" applyFont="1" applyBorder="1" applyAlignment="1">
      <alignment horizontal="center" vertical="center"/>
    </xf>
    <xf numFmtId="0" fontId="49" fillId="0" borderId="25" xfId="0" applyFont="1" applyBorder="1" applyAlignment="1">
      <alignment horizontal="center" vertical="center"/>
    </xf>
    <xf numFmtId="0" fontId="35" fillId="16" borderId="33" xfId="0" applyFont="1" applyFill="1" applyBorder="1" applyAlignment="1">
      <alignment horizontal="right"/>
    </xf>
    <xf numFmtId="0" fontId="35" fillId="16" borderId="11" xfId="0" applyFont="1" applyFill="1" applyBorder="1" applyAlignment="1">
      <alignment horizontal="right"/>
    </xf>
    <xf numFmtId="0" fontId="7" fillId="2" borderId="36" xfId="0" applyFont="1" applyFill="1" applyBorder="1" applyAlignment="1">
      <alignment horizontal="center"/>
    </xf>
    <xf numFmtId="0" fontId="33" fillId="0" borderId="4" xfId="0" applyFont="1" applyBorder="1" applyAlignment="1">
      <alignment horizontal="center"/>
    </xf>
    <xf numFmtId="0" fontId="33" fillId="0" borderId="48" xfId="0" applyFont="1" applyBorder="1" applyAlignment="1">
      <alignment horizontal="left"/>
    </xf>
    <xf numFmtId="0" fontId="0" fillId="22" borderId="56" xfId="0" applyFont="1" applyFill="1" applyBorder="1" applyAlignment="1">
      <alignment horizontal="left" vertical="center" wrapText="1"/>
    </xf>
    <xf numFmtId="0" fontId="0" fillId="0" borderId="31" xfId="0" applyBorder="1" applyAlignment="1">
      <alignment wrapText="1"/>
    </xf>
    <xf numFmtId="0" fontId="0" fillId="22" borderId="57" xfId="0" applyFont="1" applyFill="1" applyBorder="1" applyAlignment="1">
      <alignment horizontal="left" vertical="center" wrapText="1"/>
    </xf>
    <xf numFmtId="0" fontId="0" fillId="0" borderId="32" xfId="0" applyBorder="1" applyAlignment="1">
      <alignment wrapText="1"/>
    </xf>
    <xf numFmtId="0" fontId="35" fillId="0" borderId="19" xfId="0" applyFont="1" applyBorder="1" applyAlignment="1">
      <alignment wrapText="1"/>
    </xf>
    <xf numFmtId="0" fontId="35" fillId="0" borderId="28" xfId="0" applyFont="1" applyBorder="1" applyAlignment="1">
      <alignment wrapText="1"/>
    </xf>
    <xf numFmtId="0" fontId="3" fillId="3" borderId="48" xfId="0" applyFont="1" applyFill="1" applyBorder="1" applyAlignment="1">
      <alignment horizontal="right" vertical="center"/>
    </xf>
    <xf numFmtId="0" fontId="0" fillId="0" borderId="19" xfId="0" applyBorder="1" applyAlignment="1">
      <alignment horizontal="right" vertical="center"/>
    </xf>
    <xf numFmtId="0" fontId="0" fillId="0" borderId="46" xfId="0" applyFont="1" applyBorder="1" applyAlignment="1">
      <alignment vertical="center"/>
    </xf>
    <xf numFmtId="0" fontId="0" fillId="0" borderId="46" xfId="0" applyBorder="1" applyAlignment="1">
      <alignment vertical="center"/>
    </xf>
    <xf numFmtId="0" fontId="0" fillId="0" borderId="58" xfId="0" applyBorder="1" applyAlignment="1">
      <alignment vertical="center"/>
    </xf>
    <xf numFmtId="0" fontId="9" fillId="0" borderId="76" xfId="2" applyFont="1" applyBorder="1" applyAlignment="1">
      <alignment vertical="center"/>
    </xf>
    <xf numFmtId="0" fontId="52" fillId="0" borderId="11" xfId="0" applyFont="1" applyBorder="1" applyAlignment="1">
      <alignment vertical="center"/>
    </xf>
    <xf numFmtId="0" fontId="52" fillId="0" borderId="12" xfId="0" applyFont="1" applyBorder="1" applyAlignment="1">
      <alignment vertical="center"/>
    </xf>
    <xf numFmtId="0" fontId="0" fillId="16" borderId="17" xfId="0" applyFill="1" applyBorder="1" applyAlignment="1">
      <alignment vertical="center"/>
    </xf>
    <xf numFmtId="0" fontId="0" fillId="16" borderId="41" xfId="0" applyFill="1" applyBorder="1" applyAlignment="1">
      <alignment vertical="center"/>
    </xf>
    <xf numFmtId="0" fontId="0" fillId="16" borderId="1" xfId="0" applyFill="1" applyBorder="1" applyAlignment="1">
      <alignment vertical="center"/>
    </xf>
    <xf numFmtId="0" fontId="0" fillId="16" borderId="37" xfId="0" applyFill="1" applyBorder="1" applyAlignment="1">
      <alignment vertical="center"/>
    </xf>
    <xf numFmtId="0" fontId="3" fillId="2" borderId="4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8" xfId="0" applyFont="1" applyFill="1" applyBorder="1" applyAlignment="1">
      <alignment horizontal="center" vertical="center"/>
    </xf>
    <xf numFmtId="44" fontId="15" fillId="22" borderId="23" xfId="0" applyNumberFormat="1" applyFont="1" applyFill="1" applyBorder="1" applyAlignment="1">
      <alignment horizontal="center" vertical="center" wrapText="1"/>
    </xf>
    <xf numFmtId="0" fontId="0" fillId="22" borderId="14" xfId="0" applyFill="1" applyBorder="1" applyAlignment="1">
      <alignment horizontal="center" vertical="center" wrapText="1"/>
    </xf>
    <xf numFmtId="0" fontId="0" fillId="22" borderId="24" xfId="0" applyFill="1" applyBorder="1" applyAlignment="1">
      <alignment horizontal="center" vertical="center" wrapText="1"/>
    </xf>
    <xf numFmtId="0" fontId="67" fillId="2" borderId="22" xfId="0" applyFont="1" applyFill="1" applyBorder="1" applyAlignment="1">
      <alignment horizontal="center" vertical="center" wrapText="1"/>
    </xf>
    <xf numFmtId="0" fontId="68" fillId="0" borderId="0" xfId="0" applyFont="1" applyAlignment="1">
      <alignment horizontal="center" vertical="center" wrapText="1"/>
    </xf>
    <xf numFmtId="0" fontId="68" fillId="0" borderId="52" xfId="0" applyFont="1" applyBorder="1" applyAlignment="1">
      <alignment horizontal="center" vertical="center" wrapText="1"/>
    </xf>
    <xf numFmtId="0" fontId="3" fillId="3" borderId="51" xfId="0" applyFont="1" applyFill="1" applyBorder="1" applyAlignment="1">
      <alignment horizontal="right" vertical="center"/>
    </xf>
    <xf numFmtId="0" fontId="3" fillId="0" borderId="52" xfId="0" applyFont="1" applyBorder="1" applyAlignment="1">
      <alignment horizontal="right" vertical="center"/>
    </xf>
    <xf numFmtId="0" fontId="0" fillId="0" borderId="54" xfId="0" applyBorder="1" applyAlignment="1">
      <alignment vertical="center"/>
    </xf>
    <xf numFmtId="0" fontId="3" fillId="2" borderId="48" xfId="0" applyFont="1" applyFill="1" applyBorder="1" applyAlignment="1">
      <alignment vertical="center"/>
    </xf>
    <xf numFmtId="0" fontId="3" fillId="2" borderId="19" xfId="0" applyFont="1" applyFill="1" applyBorder="1" applyAlignment="1">
      <alignment vertical="center"/>
    </xf>
    <xf numFmtId="0" fontId="3" fillId="2" borderId="28" xfId="0" applyFont="1" applyFill="1" applyBorder="1" applyAlignment="1">
      <alignment vertical="center"/>
    </xf>
    <xf numFmtId="0" fontId="0" fillId="0" borderId="7" xfId="0" applyBorder="1" applyAlignment="1">
      <alignment vertical="center"/>
    </xf>
    <xf numFmtId="0" fontId="0" fillId="0" borderId="1" xfId="0" applyBorder="1" applyAlignment="1">
      <alignment vertical="center"/>
    </xf>
    <xf numFmtId="0" fontId="0" fillId="0" borderId="13" xfId="0" applyBorder="1" applyAlignment="1">
      <alignment vertical="center"/>
    </xf>
    <xf numFmtId="0" fontId="0" fillId="0" borderId="68"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3" fillId="2" borderId="36" xfId="0" applyFont="1" applyFill="1" applyBorder="1" applyAlignment="1">
      <alignment horizontal="right" vertical="center"/>
    </xf>
    <xf numFmtId="0" fontId="0" fillId="2" borderId="5" xfId="0" applyFill="1" applyBorder="1" applyAlignment="1">
      <alignment vertical="center"/>
    </xf>
    <xf numFmtId="0" fontId="63" fillId="0" borderId="23" xfId="0" applyFont="1" applyBorder="1" applyAlignment="1">
      <alignment horizontal="center" vertical="center" wrapText="1"/>
    </xf>
    <xf numFmtId="0" fontId="63" fillId="0" borderId="14" xfId="0" applyFont="1" applyBorder="1" applyAlignment="1">
      <alignment horizontal="center" vertical="center" wrapText="1"/>
    </xf>
    <xf numFmtId="0" fontId="63" fillId="0" borderId="24" xfId="0" applyFont="1" applyBorder="1" applyAlignment="1">
      <alignment horizontal="center" vertical="center" wrapText="1"/>
    </xf>
    <xf numFmtId="0" fontId="3" fillId="2" borderId="56" xfId="0" applyNumberFormat="1" applyFont="1" applyFill="1" applyBorder="1" applyAlignment="1">
      <alignment horizontal="center" vertical="center" wrapText="1"/>
    </xf>
    <xf numFmtId="0" fontId="3" fillId="2" borderId="57" xfId="0" applyNumberFormat="1" applyFont="1" applyFill="1" applyBorder="1" applyAlignment="1">
      <alignment horizontal="center" vertical="center" wrapText="1"/>
    </xf>
    <xf numFmtId="0" fontId="3" fillId="26" borderId="48" xfId="0" applyFont="1" applyFill="1" applyBorder="1" applyAlignment="1">
      <alignment horizontal="center" vertical="center" wrapText="1"/>
    </xf>
    <xf numFmtId="0" fontId="3" fillId="26" borderId="28" xfId="0" applyFont="1" applyFill="1" applyBorder="1" applyAlignment="1">
      <alignment horizontal="center" vertical="center" wrapText="1"/>
    </xf>
    <xf numFmtId="0" fontId="0" fillId="3" borderId="28" xfId="0" applyFill="1" applyBorder="1" applyAlignment="1">
      <alignment vertical="center"/>
    </xf>
    <xf numFmtId="0" fontId="10" fillId="0" borderId="49" xfId="0" applyFont="1" applyBorder="1" applyAlignment="1">
      <alignment vertical="center" wrapText="1"/>
    </xf>
    <xf numFmtId="0" fontId="10" fillId="0" borderId="22" xfId="0" applyFont="1" applyBorder="1" applyAlignment="1">
      <alignment vertical="center" wrapText="1"/>
    </xf>
    <xf numFmtId="0" fontId="10" fillId="0" borderId="50" xfId="0" applyFont="1" applyBorder="1" applyAlignment="1">
      <alignment vertical="center" wrapText="1"/>
    </xf>
    <xf numFmtId="0" fontId="10" fillId="0" borderId="51" xfId="0" applyFont="1" applyBorder="1" applyAlignment="1">
      <alignment vertical="center" wrapText="1"/>
    </xf>
    <xf numFmtId="0" fontId="10" fillId="0" borderId="52" xfId="0" applyFont="1" applyBorder="1" applyAlignment="1">
      <alignment vertical="center" wrapText="1"/>
    </xf>
    <xf numFmtId="0" fontId="10" fillId="0" borderId="29" xfId="0" applyFont="1" applyBorder="1" applyAlignment="1">
      <alignment vertical="center" wrapText="1"/>
    </xf>
    <xf numFmtId="0" fontId="3" fillId="2" borderId="23" xfId="0" applyFont="1" applyFill="1" applyBorder="1" applyAlignment="1">
      <alignment horizontal="center" vertical="center" wrapText="1"/>
    </xf>
    <xf numFmtId="0" fontId="0" fillId="2" borderId="24" xfId="0"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3" fillId="2" borderId="26" xfId="0" applyNumberFormat="1" applyFont="1" applyFill="1" applyBorder="1" applyAlignment="1">
      <alignment horizontal="center" vertical="center" wrapText="1"/>
    </xf>
    <xf numFmtId="0" fontId="3" fillId="2" borderId="49" xfId="0" applyNumberFormat="1" applyFont="1" applyFill="1" applyBorder="1" applyAlignment="1">
      <alignment horizontal="center" vertical="center" wrapText="1"/>
    </xf>
    <xf numFmtId="0" fontId="3" fillId="2" borderId="51" xfId="0" applyNumberFormat="1" applyFont="1" applyFill="1" applyBorder="1" applyAlignment="1">
      <alignment horizontal="center" vertical="center" wrapText="1"/>
    </xf>
    <xf numFmtId="0" fontId="0" fillId="16" borderId="37" xfId="0" applyFill="1" applyBorder="1" applyAlignment="1">
      <alignment horizontal="left" vertical="center"/>
    </xf>
    <xf numFmtId="0" fontId="0" fillId="16" borderId="46" xfId="0" applyFill="1" applyBorder="1" applyAlignment="1">
      <alignment vertical="center"/>
    </xf>
    <xf numFmtId="0" fontId="11" fillId="2" borderId="4" xfId="0" applyFont="1" applyFill="1" applyBorder="1" applyAlignment="1">
      <alignment horizontal="left" vertical="center"/>
    </xf>
    <xf numFmtId="0" fontId="0" fillId="0" borderId="40" xfId="0" applyBorder="1" applyAlignment="1">
      <alignment vertical="center"/>
    </xf>
    <xf numFmtId="0" fontId="3" fillId="2" borderId="70"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0" fillId="0" borderId="76"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44" fontId="3" fillId="22" borderId="23" xfId="0" applyNumberFormat="1" applyFont="1" applyFill="1" applyBorder="1" applyAlignment="1">
      <alignment horizontal="center" vertical="center" wrapText="1"/>
    </xf>
    <xf numFmtId="0" fontId="65" fillId="0" borderId="22" xfId="0" applyFont="1" applyBorder="1" applyAlignment="1">
      <alignment horizontal="center" vertical="center"/>
    </xf>
    <xf numFmtId="0" fontId="43" fillId="0" borderId="22" xfId="0" applyFont="1" applyBorder="1" applyAlignment="1">
      <alignment horizontal="center" vertical="center"/>
    </xf>
    <xf numFmtId="0" fontId="11" fillId="2" borderId="67" xfId="0" applyFont="1" applyFill="1" applyBorder="1" applyAlignment="1">
      <alignment horizontal="left" vertical="center"/>
    </xf>
    <xf numFmtId="0" fontId="0" fillId="0" borderId="19" xfId="0" applyBorder="1" applyAlignment="1">
      <alignment vertical="center"/>
    </xf>
    <xf numFmtId="0" fontId="3" fillId="2" borderId="49" xfId="0" applyNumberFormat="1" applyFont="1" applyFill="1" applyBorder="1" applyAlignment="1">
      <alignment horizontal="center" vertical="center"/>
    </xf>
    <xf numFmtId="0" fontId="0" fillId="0" borderId="50" xfId="0" applyBorder="1" applyAlignment="1">
      <alignment horizontal="center" vertical="center"/>
    </xf>
    <xf numFmtId="0" fontId="0" fillId="0" borderId="48" xfId="0" applyFont="1" applyBorder="1" applyAlignment="1">
      <alignment horizontal="center" vertical="center"/>
    </xf>
    <xf numFmtId="0" fontId="0" fillId="0" borderId="19" xfId="0" applyFont="1" applyBorder="1" applyAlignment="1">
      <alignment horizontal="center" vertical="center"/>
    </xf>
    <xf numFmtId="0" fontId="0" fillId="0" borderId="28" xfId="0" applyFont="1" applyBorder="1" applyAlignment="1">
      <alignment vertical="center"/>
    </xf>
    <xf numFmtId="0" fontId="3" fillId="2" borderId="62" xfId="0" applyFont="1" applyFill="1" applyBorder="1" applyAlignment="1">
      <alignment horizontal="center" vertical="center" wrapText="1"/>
    </xf>
    <xf numFmtId="0" fontId="3" fillId="2" borderId="63" xfId="0" applyFont="1" applyFill="1" applyBorder="1" applyAlignment="1">
      <alignment horizontal="center" vertical="center" wrapText="1"/>
    </xf>
    <xf numFmtId="44" fontId="3" fillId="2" borderId="19" xfId="0" applyNumberFormat="1" applyFont="1" applyFill="1" applyBorder="1" applyAlignment="1">
      <alignment horizontal="right" vertical="center"/>
    </xf>
    <xf numFmtId="0" fontId="0" fillId="0" borderId="28" xfId="0" applyBorder="1" applyAlignment="1">
      <alignment horizontal="right" vertical="center"/>
    </xf>
    <xf numFmtId="0" fontId="54" fillId="0" borderId="35" xfId="0" applyFont="1" applyBorder="1" applyAlignment="1">
      <alignment horizontal="left" vertical="center"/>
    </xf>
    <xf numFmtId="0" fontId="0" fillId="0" borderId="20" xfId="0" applyFont="1" applyBorder="1" applyAlignment="1">
      <alignment vertical="center"/>
    </xf>
    <xf numFmtId="0" fontId="0" fillId="0" borderId="21" xfId="0" applyFont="1" applyBorder="1" applyAlignment="1">
      <alignment vertical="center"/>
    </xf>
    <xf numFmtId="0" fontId="54" fillId="0" borderId="0" xfId="0" applyFont="1" applyFill="1" applyBorder="1" applyAlignment="1">
      <alignment horizontal="left" vertical="center"/>
    </xf>
    <xf numFmtId="0" fontId="0" fillId="0" borderId="0" xfId="0" applyFont="1" applyFill="1" applyBorder="1" applyAlignment="1">
      <alignment vertical="center"/>
    </xf>
    <xf numFmtId="0" fontId="15" fillId="2" borderId="23" xfId="0" applyFont="1" applyFill="1" applyBorder="1" applyAlignment="1">
      <alignment horizontal="center" vertical="center" wrapText="1"/>
    </xf>
    <xf numFmtId="0" fontId="0" fillId="0" borderId="29" xfId="0" applyBorder="1" applyAlignment="1">
      <alignment horizontal="center" vertical="center" wrapText="1"/>
    </xf>
    <xf numFmtId="0" fontId="0" fillId="0" borderId="24" xfId="0" applyBorder="1" applyAlignment="1">
      <alignment horizontal="center" vertical="center" wrapText="1"/>
    </xf>
    <xf numFmtId="0" fontId="3" fillId="5" borderId="48" xfId="0" applyFont="1" applyFill="1" applyBorder="1" applyAlignment="1">
      <alignment horizontal="center" vertical="center"/>
    </xf>
    <xf numFmtId="0" fontId="3" fillId="5" borderId="19" xfId="0" applyFont="1" applyFill="1" applyBorder="1" applyAlignment="1">
      <alignment horizontal="center" vertical="center"/>
    </xf>
    <xf numFmtId="0" fontId="3" fillId="5" borderId="28" xfId="0" applyFont="1" applyFill="1" applyBorder="1" applyAlignment="1">
      <alignment horizontal="center" vertical="center"/>
    </xf>
    <xf numFmtId="0" fontId="13" fillId="0" borderId="46" xfId="2" applyBorder="1" applyAlignment="1">
      <alignment vertical="center"/>
    </xf>
    <xf numFmtId="0" fontId="54" fillId="0" borderId="33" xfId="0" applyFont="1" applyBorder="1" applyAlignment="1">
      <alignment horizontal="left" vertical="center"/>
    </xf>
    <xf numFmtId="0" fontId="0" fillId="0" borderId="11" xfId="0" applyFont="1" applyBorder="1" applyAlignment="1">
      <alignment vertical="center"/>
    </xf>
    <xf numFmtId="0" fontId="0" fillId="0" borderId="12" xfId="0" applyFont="1" applyBorder="1" applyAlignment="1">
      <alignment vertical="center"/>
    </xf>
    <xf numFmtId="0" fontId="3" fillId="2" borderId="80" xfId="0" applyFont="1" applyFill="1" applyBorder="1" applyAlignment="1">
      <alignment vertical="center"/>
    </xf>
    <xf numFmtId="0" fontId="3" fillId="2" borderId="61" xfId="0" applyFont="1" applyFill="1" applyBorder="1" applyAlignment="1">
      <alignment vertical="center"/>
    </xf>
    <xf numFmtId="0" fontId="3" fillId="2" borderId="62" xfId="0" applyFont="1" applyFill="1" applyBorder="1" applyAlignment="1">
      <alignment vertical="center"/>
    </xf>
    <xf numFmtId="44" fontId="3" fillId="2" borderId="23" xfId="0" applyNumberFormat="1" applyFont="1" applyFill="1" applyBorder="1" applyAlignment="1">
      <alignment horizontal="center" vertical="center" wrapText="1"/>
    </xf>
    <xf numFmtId="0" fontId="0" fillId="0" borderId="14" xfId="0" applyBorder="1" applyAlignment="1">
      <alignment horizontal="center" vertical="center" wrapText="1"/>
    </xf>
    <xf numFmtId="0" fontId="3" fillId="2" borderId="14" xfId="0" applyNumberFormat="1" applyFont="1" applyFill="1" applyBorder="1" applyAlignment="1">
      <alignment horizontal="center" vertical="center" wrapText="1"/>
    </xf>
    <xf numFmtId="44" fontId="15" fillId="2" borderId="23" xfId="0" applyNumberFormat="1" applyFont="1" applyFill="1" applyBorder="1" applyAlignment="1">
      <alignment horizontal="center" vertical="center" wrapText="1"/>
    </xf>
    <xf numFmtId="0" fontId="3" fillId="2" borderId="48" xfId="0" applyNumberFormat="1" applyFont="1" applyFill="1" applyBorder="1" applyAlignment="1">
      <alignment horizontal="center" vertical="center"/>
    </xf>
    <xf numFmtId="0" fontId="3" fillId="2" borderId="28" xfId="0" applyNumberFormat="1" applyFont="1" applyFill="1" applyBorder="1" applyAlignment="1">
      <alignment horizontal="center" vertical="center"/>
    </xf>
    <xf numFmtId="0" fontId="3" fillId="26" borderId="49" xfId="0" applyFont="1" applyFill="1" applyBorder="1" applyAlignment="1">
      <alignment horizontal="center" vertical="center"/>
    </xf>
    <xf numFmtId="0" fontId="3" fillId="26" borderId="50" xfId="0" applyFont="1" applyFill="1" applyBorder="1" applyAlignment="1">
      <alignment vertical="center"/>
    </xf>
    <xf numFmtId="0" fontId="3" fillId="2" borderId="33" xfId="0" applyNumberFormat="1" applyFont="1" applyFill="1" applyBorder="1" applyAlignment="1">
      <alignment horizontal="center" vertical="center" wrapText="1"/>
    </xf>
    <xf numFmtId="0" fontId="3" fillId="2" borderId="35" xfId="0" applyNumberFormat="1" applyFont="1" applyFill="1" applyBorder="1" applyAlignment="1">
      <alignment horizontal="center" vertical="center" wrapText="1"/>
    </xf>
    <xf numFmtId="0" fontId="3" fillId="2" borderId="12" xfId="0" applyNumberFormat="1" applyFont="1" applyFill="1" applyBorder="1" applyAlignment="1">
      <alignment horizontal="center" vertical="center" wrapText="1"/>
    </xf>
    <xf numFmtId="0" fontId="3" fillId="2" borderId="21" xfId="0" applyNumberFormat="1" applyFont="1" applyFill="1" applyBorder="1" applyAlignment="1">
      <alignment horizontal="center" vertical="center" wrapText="1"/>
    </xf>
    <xf numFmtId="0" fontId="3" fillId="2" borderId="77" xfId="0" applyNumberFormat="1" applyFont="1" applyFill="1" applyBorder="1" applyAlignment="1">
      <alignment horizontal="center" vertical="center" wrapText="1"/>
    </xf>
    <xf numFmtId="0" fontId="3" fillId="2" borderId="81" xfId="0" applyNumberFormat="1" applyFont="1" applyFill="1" applyBorder="1" applyAlignment="1">
      <alignment horizontal="center" vertical="center" wrapText="1"/>
    </xf>
    <xf numFmtId="0" fontId="3" fillId="2" borderId="76" xfId="0" applyNumberFormat="1" applyFont="1" applyFill="1" applyBorder="1" applyAlignment="1">
      <alignment horizontal="center" vertical="center" wrapText="1"/>
    </xf>
    <xf numFmtId="0" fontId="3" fillId="2" borderId="68" xfId="0" applyNumberFormat="1" applyFont="1" applyFill="1" applyBorder="1" applyAlignment="1">
      <alignment horizontal="center" vertical="center" wrapText="1"/>
    </xf>
    <xf numFmtId="44" fontId="3" fillId="2" borderId="19" xfId="0" applyNumberFormat="1" applyFont="1" applyFill="1" applyBorder="1" applyAlignment="1">
      <alignment horizontal="center" vertical="center"/>
    </xf>
    <xf numFmtId="0" fontId="0" fillId="0" borderId="28" xfId="0" applyBorder="1" applyAlignment="1">
      <alignment horizontal="center" vertical="center"/>
    </xf>
    <xf numFmtId="0" fontId="3" fillId="2" borderId="23" xfId="0" applyNumberFormat="1" applyFont="1" applyFill="1" applyBorder="1" applyAlignment="1">
      <alignment horizontal="center" vertical="center" wrapText="1"/>
    </xf>
    <xf numFmtId="0" fontId="3" fillId="2" borderId="24" xfId="0" applyNumberFormat="1" applyFont="1" applyFill="1" applyBorder="1" applyAlignment="1">
      <alignment horizontal="center" vertical="center" wrapText="1"/>
    </xf>
    <xf numFmtId="176" fontId="3" fillId="3" borderId="52" xfId="0" quotePrefix="1" applyNumberFormat="1" applyFont="1" applyFill="1" applyBorder="1" applyAlignment="1">
      <alignment horizontal="right" vertical="top"/>
    </xf>
    <xf numFmtId="176" fontId="3" fillId="3" borderId="52" xfId="0" applyNumberFormat="1" applyFont="1" applyFill="1" applyBorder="1" applyAlignment="1">
      <alignment horizontal="right"/>
    </xf>
    <xf numFmtId="0" fontId="15" fillId="2" borderId="36" xfId="0" applyFont="1" applyFill="1" applyBorder="1" applyAlignment="1">
      <alignment horizontal="left" vertical="center"/>
    </xf>
    <xf numFmtId="0" fontId="15" fillId="2" borderId="4" xfId="0" applyFont="1" applyFill="1" applyBorder="1" applyAlignment="1">
      <alignment horizontal="left" vertical="center"/>
    </xf>
    <xf numFmtId="0" fontId="3" fillId="0" borderId="4" xfId="0" applyFont="1" applyBorder="1" applyAlignment="1">
      <alignment vertical="center"/>
    </xf>
    <xf numFmtId="0" fontId="9" fillId="14" borderId="34" xfId="0" applyFont="1" applyFill="1" applyBorder="1" applyAlignment="1">
      <alignment horizontal="left" vertical="center" wrapText="1"/>
    </xf>
    <xf numFmtId="0" fontId="9" fillId="14" borderId="1" xfId="0" applyFont="1" applyFill="1" applyBorder="1" applyAlignment="1">
      <alignment horizontal="left" vertical="center" wrapText="1"/>
    </xf>
    <xf numFmtId="0" fontId="9" fillId="0" borderId="1" xfId="0" applyFont="1" applyBorder="1" applyAlignment="1">
      <alignment vertical="center" wrapText="1"/>
    </xf>
    <xf numFmtId="0" fontId="14" fillId="4" borderId="48" xfId="0" applyFont="1" applyFill="1" applyBorder="1" applyAlignment="1">
      <alignment horizontal="left" vertical="center"/>
    </xf>
    <xf numFmtId="0" fontId="14" fillId="4" borderId="19" xfId="0" applyFont="1" applyFill="1" applyBorder="1" applyAlignment="1">
      <alignment horizontal="left" vertical="center"/>
    </xf>
    <xf numFmtId="0" fontId="0" fillId="0" borderId="19" xfId="0" applyFont="1" applyBorder="1" applyAlignment="1">
      <alignment vertical="center"/>
    </xf>
    <xf numFmtId="0" fontId="9" fillId="13" borderId="34" xfId="0" applyFont="1" applyFill="1" applyBorder="1" applyAlignment="1">
      <alignment horizontal="left" vertical="center" wrapText="1"/>
    </xf>
    <xf numFmtId="0" fontId="9" fillId="13" borderId="1"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19" xfId="0" applyFont="1" applyFill="1" applyBorder="1" applyAlignment="1">
      <alignment vertical="center" wrapText="1"/>
    </xf>
    <xf numFmtId="0" fontId="9" fillId="0" borderId="19" xfId="0" applyFont="1" applyBorder="1" applyAlignment="1">
      <alignment vertical="center" wrapText="1"/>
    </xf>
    <xf numFmtId="0" fontId="3" fillId="2" borderId="33" xfId="0" applyFont="1" applyFill="1" applyBorder="1" applyAlignment="1">
      <alignment horizontal="right" vertical="center"/>
    </xf>
    <xf numFmtId="0" fontId="0" fillId="2" borderId="38" xfId="0" applyFill="1" applyBorder="1" applyAlignment="1">
      <alignment vertical="center"/>
    </xf>
    <xf numFmtId="0" fontId="3" fillId="2" borderId="35" xfId="0" applyFont="1" applyFill="1" applyBorder="1" applyAlignment="1">
      <alignment horizontal="right" vertical="center"/>
    </xf>
    <xf numFmtId="0" fontId="0" fillId="2" borderId="42" xfId="0" applyFill="1" applyBorder="1" applyAlignment="1">
      <alignment vertical="center"/>
    </xf>
    <xf numFmtId="0" fontId="0" fillId="2" borderId="39" xfId="0" applyFill="1" applyBorder="1" applyAlignment="1">
      <alignment vertical="center"/>
    </xf>
    <xf numFmtId="0" fontId="13" fillId="0" borderId="47" xfId="2" applyBorder="1" applyAlignment="1">
      <alignment horizontal="left" vertical="center"/>
    </xf>
    <xf numFmtId="0" fontId="0" fillId="0" borderId="47" xfId="0" applyBorder="1" applyAlignment="1">
      <alignment horizontal="left" vertical="center"/>
    </xf>
    <xf numFmtId="0" fontId="0" fillId="0" borderId="32" xfId="0" applyBorder="1" applyAlignment="1">
      <alignment horizontal="left" vertical="center"/>
    </xf>
    <xf numFmtId="0" fontId="0" fillId="16" borderId="38" xfId="0" applyNumberFormat="1" applyFill="1" applyBorder="1" applyAlignment="1">
      <alignment horizontal="left" vertical="center"/>
    </xf>
    <xf numFmtId="0" fontId="0" fillId="16" borderId="45" xfId="0" applyNumberFormat="1" applyFill="1" applyBorder="1" applyAlignment="1">
      <alignment vertical="center"/>
    </xf>
    <xf numFmtId="0" fontId="3" fillId="3" borderId="36" xfId="0" applyFont="1" applyFill="1" applyBorder="1" applyAlignment="1">
      <alignment horizontal="right" vertical="center"/>
    </xf>
    <xf numFmtId="0" fontId="3" fillId="3" borderId="40" xfId="0" applyFont="1" applyFill="1" applyBorder="1" applyAlignment="1">
      <alignment vertical="center"/>
    </xf>
    <xf numFmtId="0" fontId="0" fillId="0" borderId="70"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8" xfId="0" quotePrefix="1" applyBorder="1" applyAlignment="1">
      <alignment vertical="center"/>
    </xf>
    <xf numFmtId="0" fontId="0" fillId="2" borderId="40" xfId="0" applyFill="1" applyBorder="1" applyAlignment="1">
      <alignment vertical="center"/>
    </xf>
    <xf numFmtId="0" fontId="0" fillId="0" borderId="35" xfId="0" applyFont="1" applyBorder="1" applyAlignment="1">
      <alignment horizontal="right" vertical="center"/>
    </xf>
    <xf numFmtId="0" fontId="0" fillId="0" borderId="39" xfId="0" applyFont="1" applyBorder="1" applyAlignment="1">
      <alignment vertical="center"/>
    </xf>
    <xf numFmtId="0" fontId="15" fillId="2" borderId="36" xfId="0" applyFont="1" applyFill="1" applyBorder="1" applyAlignment="1">
      <alignment horizontal="center" vertical="center"/>
    </xf>
    <xf numFmtId="0" fontId="0" fillId="0" borderId="40" xfId="0" applyBorder="1" applyAlignment="1">
      <alignment horizontal="center" vertical="center"/>
    </xf>
    <xf numFmtId="0" fontId="0" fillId="0" borderId="35" xfId="0" applyBorder="1" applyAlignment="1">
      <alignment vertical="center"/>
    </xf>
    <xf numFmtId="0" fontId="0" fillId="16" borderId="39" xfId="0" applyFill="1" applyBorder="1" applyAlignment="1">
      <alignment horizontal="left" vertical="center"/>
    </xf>
    <xf numFmtId="0" fontId="0" fillId="16" borderId="47" xfId="0" applyFill="1" applyBorder="1" applyAlignment="1">
      <alignment vertical="center"/>
    </xf>
    <xf numFmtId="0" fontId="0" fillId="0" borderId="22" xfId="0" applyBorder="1" applyAlignment="1">
      <alignment horizontal="center" vertical="center"/>
    </xf>
    <xf numFmtId="0" fontId="0" fillId="0" borderId="0" xfId="0" applyBorder="1" applyAlignment="1">
      <alignment horizontal="center" vertical="center"/>
    </xf>
    <xf numFmtId="0" fontId="0" fillId="0" borderId="30" xfId="0" applyBorder="1" applyAlignment="1">
      <alignment horizontal="center" vertical="center"/>
    </xf>
    <xf numFmtId="0" fontId="0" fillId="0" borderId="52" xfId="0" applyBorder="1" applyAlignment="1">
      <alignment horizontal="center" vertical="center"/>
    </xf>
    <xf numFmtId="0" fontId="0" fillId="0" borderId="29" xfId="0" applyBorder="1" applyAlignment="1">
      <alignment horizontal="center" vertical="center"/>
    </xf>
    <xf numFmtId="0" fontId="3" fillId="0" borderId="48" xfId="0" applyFont="1" applyBorder="1" applyAlignment="1">
      <alignment vertical="center"/>
    </xf>
    <xf numFmtId="0" fontId="0" fillId="0" borderId="28" xfId="0" applyBorder="1" applyAlignment="1">
      <alignment vertical="center"/>
    </xf>
    <xf numFmtId="0" fontId="9" fillId="13" borderId="35" xfId="0" applyFont="1" applyFill="1" applyBorder="1" applyAlignment="1">
      <alignment horizontal="left" vertical="center" wrapText="1"/>
    </xf>
    <xf numFmtId="0" fontId="9" fillId="0" borderId="20" xfId="0" applyFont="1" applyBorder="1" applyAlignment="1">
      <alignment vertical="center" wrapText="1"/>
    </xf>
    <xf numFmtId="0" fontId="3" fillId="0" borderId="0"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29" xfId="0" applyFont="1" applyBorder="1" applyAlignment="1">
      <alignment horizontal="center" vertical="center" wrapText="1"/>
    </xf>
    <xf numFmtId="0" fontId="0" fillId="0" borderId="33" xfId="0" applyBorder="1" applyAlignment="1">
      <alignment vertical="center"/>
    </xf>
    <xf numFmtId="0" fontId="0" fillId="3" borderId="19" xfId="0" applyFill="1" applyBorder="1" applyAlignment="1">
      <alignment horizontal="right" vertical="center"/>
    </xf>
    <xf numFmtId="44" fontId="14" fillId="0" borderId="36" xfId="0" applyNumberFormat="1" applyFont="1" applyFill="1" applyBorder="1" applyAlignment="1">
      <alignment horizontal="center" vertical="center"/>
    </xf>
    <xf numFmtId="0" fontId="0" fillId="0" borderId="40" xfId="0" applyFont="1" applyBorder="1" applyAlignment="1">
      <alignment horizontal="center" vertical="center"/>
    </xf>
    <xf numFmtId="0" fontId="0" fillId="3" borderId="28" xfId="0" applyFill="1" applyBorder="1" applyAlignment="1">
      <alignment horizontal="right" vertical="center"/>
    </xf>
    <xf numFmtId="0" fontId="54" fillId="0" borderId="77" xfId="0" applyFont="1" applyBorder="1" applyAlignment="1">
      <alignment horizontal="left" vertical="center"/>
    </xf>
    <xf numFmtId="0" fontId="0" fillId="0" borderId="2" xfId="0" applyFont="1" applyBorder="1" applyAlignment="1">
      <alignment vertical="center"/>
    </xf>
    <xf numFmtId="0" fontId="0" fillId="0" borderId="81" xfId="0" applyFont="1" applyBorder="1" applyAlignment="1">
      <alignment vertical="center"/>
    </xf>
    <xf numFmtId="0" fontId="54" fillId="0" borderId="43" xfId="0" applyFont="1" applyBorder="1" applyAlignment="1">
      <alignment horizontal="left" vertical="center"/>
    </xf>
    <xf numFmtId="0" fontId="0" fillId="0" borderId="17" xfId="0" applyFont="1" applyBorder="1" applyAlignment="1">
      <alignment vertical="center"/>
    </xf>
    <xf numFmtId="0" fontId="0" fillId="0" borderId="18" xfId="0" applyFont="1" applyBorder="1" applyAlignment="1">
      <alignment vertical="center"/>
    </xf>
    <xf numFmtId="0" fontId="22" fillId="15" borderId="48" xfId="0" applyFont="1" applyFill="1" applyBorder="1" applyAlignment="1">
      <alignment horizontal="left" vertical="center"/>
    </xf>
    <xf numFmtId="0" fontId="0" fillId="15" borderId="19" xfId="0" applyFill="1" applyBorder="1" applyAlignment="1">
      <alignment horizontal="left" vertical="center"/>
    </xf>
    <xf numFmtId="0" fontId="0" fillId="15" borderId="28" xfId="0" applyFill="1" applyBorder="1" applyAlignment="1">
      <alignment horizontal="left" vertical="center"/>
    </xf>
    <xf numFmtId="0" fontId="3" fillId="2" borderId="36" xfId="0" applyFont="1" applyFill="1" applyBorder="1" applyAlignment="1">
      <alignment vertical="center"/>
    </xf>
    <xf numFmtId="0" fontId="0" fillId="0" borderId="14" xfId="0" applyBorder="1" applyAlignment="1">
      <alignment vertical="center" wrapText="1"/>
    </xf>
    <xf numFmtId="0" fontId="0" fillId="0" borderId="29" xfId="0" applyBorder="1" applyAlignment="1">
      <alignment vertical="center" wrapText="1"/>
    </xf>
    <xf numFmtId="0" fontId="0" fillId="0" borderId="24" xfId="0" applyBorder="1" applyAlignment="1">
      <alignment vertical="center" wrapText="1"/>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45" xfId="0" applyFont="1" applyBorder="1" applyAlignment="1">
      <alignment vertical="center"/>
    </xf>
    <xf numFmtId="0" fontId="0" fillId="0" borderId="45" xfId="0" applyBorder="1" applyAlignment="1">
      <alignment vertical="center"/>
    </xf>
    <xf numFmtId="0" fontId="0" fillId="0" borderId="31" xfId="0" applyBorder="1" applyAlignment="1">
      <alignment vertical="center"/>
    </xf>
    <xf numFmtId="0" fontId="0" fillId="0" borderId="79" xfId="0" applyFont="1" applyBorder="1" applyAlignment="1">
      <alignment vertical="center"/>
    </xf>
    <xf numFmtId="0" fontId="0" fillId="0" borderId="79" xfId="0" applyBorder="1" applyAlignment="1">
      <alignment vertical="center"/>
    </xf>
    <xf numFmtId="0" fontId="13" fillId="0" borderId="79" xfId="2" applyBorder="1" applyAlignment="1">
      <alignment vertical="center"/>
    </xf>
    <xf numFmtId="0" fontId="0" fillId="0" borderId="72" xfId="0" applyBorder="1" applyAlignment="1">
      <alignment vertical="center"/>
    </xf>
    <xf numFmtId="0" fontId="9" fillId="0" borderId="7" xfId="2" applyFont="1" applyBorder="1" applyAlignment="1">
      <alignment vertical="center"/>
    </xf>
    <xf numFmtId="0" fontId="52" fillId="0" borderId="1" xfId="0" applyFont="1" applyBorder="1" applyAlignment="1">
      <alignment vertical="center"/>
    </xf>
    <xf numFmtId="0" fontId="52" fillId="0" borderId="13" xfId="0" applyFont="1" applyBorder="1" applyAlignment="1">
      <alignment vertical="center"/>
    </xf>
    <xf numFmtId="0" fontId="0" fillId="0" borderId="43" xfId="0" applyBorder="1" applyAlignment="1">
      <alignment vertical="center"/>
    </xf>
    <xf numFmtId="0" fontId="0" fillId="16" borderId="20" xfId="0" applyFill="1" applyBorder="1" applyAlignment="1">
      <alignment vertical="center"/>
    </xf>
    <xf numFmtId="0" fontId="0" fillId="16" borderId="39" xfId="0" applyFill="1" applyBorder="1" applyAlignment="1">
      <alignment vertical="center"/>
    </xf>
    <xf numFmtId="0" fontId="3" fillId="3" borderId="40" xfId="0" applyFont="1" applyFill="1" applyBorder="1" applyAlignment="1">
      <alignment horizontal="right" vertical="center" wrapText="1"/>
    </xf>
    <xf numFmtId="0" fontId="0" fillId="0" borderId="80" xfId="0" applyBorder="1" applyAlignment="1">
      <alignment horizontal="right" vertical="center"/>
    </xf>
    <xf numFmtId="0" fontId="9" fillId="0" borderId="68" xfId="2" applyFont="1" applyBorder="1" applyAlignment="1">
      <alignment vertical="center"/>
    </xf>
    <xf numFmtId="0" fontId="52" fillId="0" borderId="20" xfId="0" applyFont="1" applyBorder="1" applyAlignment="1">
      <alignment vertical="center"/>
    </xf>
    <xf numFmtId="0" fontId="52" fillId="0" borderId="21" xfId="0" applyFont="1" applyBorder="1" applyAlignment="1">
      <alignment vertical="center"/>
    </xf>
    <xf numFmtId="0" fontId="0" fillId="0" borderId="34" xfId="0" applyBorder="1" applyAlignment="1">
      <alignment vertical="center"/>
    </xf>
    <xf numFmtId="0" fontId="13" fillId="0" borderId="34" xfId="2" applyBorder="1" applyAlignment="1">
      <alignment vertical="center"/>
    </xf>
    <xf numFmtId="0" fontId="0" fillId="0" borderId="56" xfId="0" applyBorder="1" applyAlignment="1">
      <alignment vertical="center"/>
    </xf>
    <xf numFmtId="0" fontId="0" fillId="0" borderId="55" xfId="0" applyBorder="1" applyAlignment="1">
      <alignment vertical="center"/>
    </xf>
    <xf numFmtId="44" fontId="0" fillId="0" borderId="48" xfId="0" applyNumberFormat="1" applyBorder="1" applyAlignment="1">
      <alignment vertical="center"/>
    </xf>
    <xf numFmtId="44" fontId="3" fillId="3" borderId="48" xfId="0" applyNumberFormat="1" applyFont="1" applyFill="1" applyBorder="1" applyAlignment="1">
      <alignment horizontal="right" vertical="center"/>
    </xf>
    <xf numFmtId="0" fontId="3" fillId="3" borderId="19" xfId="0" applyFont="1" applyFill="1" applyBorder="1" applyAlignment="1">
      <alignment vertical="center"/>
    </xf>
    <xf numFmtId="0" fontId="7" fillId="24" borderId="19" xfId="0" applyFont="1" applyFill="1" applyBorder="1" applyAlignment="1">
      <alignment vertical="center"/>
    </xf>
    <xf numFmtId="0" fontId="0" fillId="24" borderId="19" xfId="0" applyFill="1" applyBorder="1" applyAlignment="1">
      <alignment vertical="center"/>
    </xf>
    <xf numFmtId="0" fontId="3" fillId="2" borderId="60" xfId="0" applyFont="1" applyFill="1" applyBorder="1" applyAlignment="1">
      <alignment horizontal="center" vertical="center" wrapText="1"/>
    </xf>
    <xf numFmtId="0" fontId="3" fillId="2" borderId="59" xfId="0" applyFont="1" applyFill="1" applyBorder="1" applyAlignment="1">
      <alignment horizontal="center" vertical="center" wrapText="1"/>
    </xf>
    <xf numFmtId="0" fontId="3" fillId="2" borderId="61"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0" fillId="0" borderId="70" xfId="0" applyBorder="1" applyAlignment="1">
      <alignment horizontal="right" vertical="center"/>
    </xf>
    <xf numFmtId="0" fontId="3" fillId="15" borderId="49" xfId="0" applyFont="1" applyFill="1" applyBorder="1" applyAlignment="1">
      <alignment horizontal="center" vertical="center" wrapText="1"/>
    </xf>
    <xf numFmtId="0" fontId="0" fillId="15" borderId="22" xfId="0" applyFill="1" applyBorder="1" applyAlignment="1">
      <alignment horizontal="center" vertical="center" wrapText="1"/>
    </xf>
    <xf numFmtId="0" fontId="0" fillId="15" borderId="50" xfId="0" applyFill="1" applyBorder="1" applyAlignment="1">
      <alignment horizontal="center" vertical="center" wrapText="1"/>
    </xf>
    <xf numFmtId="0" fontId="0" fillId="15" borderId="51" xfId="0" applyFill="1" applyBorder="1" applyAlignment="1">
      <alignment horizontal="center" vertical="center" wrapText="1"/>
    </xf>
    <xf numFmtId="0" fontId="0" fillId="15" borderId="52" xfId="0" applyFill="1" applyBorder="1" applyAlignment="1">
      <alignment horizontal="center" vertical="center" wrapText="1"/>
    </xf>
    <xf numFmtId="0" fontId="0" fillId="15" borderId="29" xfId="0" applyFill="1" applyBorder="1" applyAlignment="1">
      <alignment horizontal="center" vertical="center" wrapText="1"/>
    </xf>
    <xf numFmtId="0" fontId="10" fillId="15" borderId="48" xfId="0" applyFont="1" applyFill="1" applyBorder="1" applyAlignment="1">
      <alignment horizontal="center" vertical="center"/>
    </xf>
    <xf numFmtId="0" fontId="0" fillId="15" borderId="19" xfId="0" applyFill="1" applyBorder="1" applyAlignment="1">
      <alignment horizontal="center" vertical="center"/>
    </xf>
    <xf numFmtId="0" fontId="0" fillId="15" borderId="28" xfId="0" applyFill="1" applyBorder="1" applyAlignment="1">
      <alignment horizontal="center" vertical="center"/>
    </xf>
    <xf numFmtId="0" fontId="3" fillId="15" borderId="48" xfId="0" applyFont="1" applyFill="1" applyBorder="1" applyAlignment="1">
      <alignment horizontal="center" vertical="center"/>
    </xf>
    <xf numFmtId="0" fontId="3" fillId="15" borderId="19" xfId="0" applyFont="1" applyFill="1" applyBorder="1" applyAlignment="1">
      <alignment horizontal="center" vertical="center"/>
    </xf>
    <xf numFmtId="0" fontId="22" fillId="0" borderId="49" xfId="0" applyFont="1" applyBorder="1" applyAlignment="1">
      <alignment vertical="center"/>
    </xf>
    <xf numFmtId="0" fontId="2" fillId="0" borderId="22" xfId="0" applyFont="1" applyBorder="1" applyAlignment="1">
      <alignment vertical="center"/>
    </xf>
    <xf numFmtId="0" fontId="2" fillId="0" borderId="50" xfId="0" applyFont="1" applyBorder="1" applyAlignment="1">
      <alignment vertical="center"/>
    </xf>
    <xf numFmtId="0" fontId="9" fillId="14" borderId="64" xfId="0" applyFont="1" applyFill="1" applyBorder="1" applyAlignment="1">
      <alignment horizontal="left" vertical="center" wrapText="1"/>
    </xf>
    <xf numFmtId="0" fontId="9" fillId="14" borderId="6" xfId="0" applyFont="1" applyFill="1" applyBorder="1" applyAlignment="1">
      <alignment horizontal="left" vertical="center" wrapText="1"/>
    </xf>
    <xf numFmtId="0" fontId="9" fillId="0" borderId="6" xfId="0" applyFont="1" applyBorder="1" applyAlignment="1">
      <alignment vertical="center" wrapText="1"/>
    </xf>
    <xf numFmtId="0" fontId="9" fillId="14" borderId="43" xfId="0" applyFont="1" applyFill="1" applyBorder="1" applyAlignment="1">
      <alignment horizontal="left" vertical="center" wrapText="1"/>
    </xf>
    <xf numFmtId="0" fontId="9" fillId="14" borderId="17" xfId="0" applyFont="1" applyFill="1" applyBorder="1" applyAlignment="1">
      <alignment horizontal="left" vertical="center" wrapText="1"/>
    </xf>
    <xf numFmtId="0" fontId="9" fillId="0" borderId="17" xfId="0" applyFont="1" applyBorder="1" applyAlignment="1">
      <alignment vertical="center" wrapText="1"/>
    </xf>
    <xf numFmtId="0" fontId="9" fillId="4" borderId="19" xfId="0" applyFont="1" applyFill="1" applyBorder="1" applyAlignment="1">
      <alignment horizontal="left" vertical="center" wrapText="1"/>
    </xf>
    <xf numFmtId="0" fontId="26" fillId="13" borderId="53" xfId="0" applyFont="1" applyFill="1" applyBorder="1" applyAlignment="1">
      <alignment horizontal="left" vertical="center"/>
    </xf>
    <xf numFmtId="0" fontId="26" fillId="13" borderId="71" xfId="0" applyFont="1" applyFill="1" applyBorder="1" applyAlignment="1">
      <alignment horizontal="left" vertical="center"/>
    </xf>
    <xf numFmtId="0" fontId="26" fillId="0" borderId="71" xfId="0" applyFont="1" applyBorder="1" applyAlignment="1">
      <alignment vertical="center"/>
    </xf>
    <xf numFmtId="0" fontId="0" fillId="0" borderId="71" xfId="0" applyFont="1" applyBorder="1" applyAlignment="1">
      <alignment vertical="center"/>
    </xf>
    <xf numFmtId="0" fontId="0" fillId="0" borderId="69" xfId="0" applyFont="1" applyBorder="1" applyAlignment="1">
      <alignment vertical="center"/>
    </xf>
    <xf numFmtId="0" fontId="26" fillId="13" borderId="54" xfId="0" applyFont="1" applyFill="1" applyBorder="1" applyAlignment="1">
      <alignment horizontal="left" vertical="center"/>
    </xf>
    <xf numFmtId="0" fontId="26" fillId="13" borderId="46" xfId="0" applyFont="1" applyFill="1" applyBorder="1" applyAlignment="1">
      <alignment horizontal="left" vertical="center"/>
    </xf>
    <xf numFmtId="0" fontId="26" fillId="0" borderId="46" xfId="0" applyFont="1" applyBorder="1" applyAlignment="1">
      <alignment vertical="center"/>
    </xf>
    <xf numFmtId="0" fontId="0" fillId="0" borderId="58" xfId="0" applyFont="1" applyBorder="1" applyAlignment="1">
      <alignment vertical="center"/>
    </xf>
    <xf numFmtId="0" fontId="3" fillId="2" borderId="48" xfId="0" applyFont="1" applyFill="1" applyBorder="1" applyAlignment="1">
      <alignment horizontal="right" vertical="center"/>
    </xf>
    <xf numFmtId="0" fontId="3" fillId="2" borderId="28" xfId="0" applyFont="1" applyFill="1" applyBorder="1" applyAlignment="1">
      <alignment horizontal="right" vertical="center"/>
    </xf>
    <xf numFmtId="0" fontId="20" fillId="0" borderId="44" xfId="0" applyFont="1" applyBorder="1" applyAlignment="1">
      <alignment vertical="center"/>
    </xf>
    <xf numFmtId="0" fontId="0" fillId="0" borderId="0" xfId="0" applyAlignment="1">
      <alignment vertical="center"/>
    </xf>
    <xf numFmtId="0" fontId="0" fillId="0" borderId="30" xfId="0" applyBorder="1" applyAlignment="1">
      <alignment vertical="center"/>
    </xf>
    <xf numFmtId="0" fontId="3" fillId="15" borderId="52" xfId="0" applyFont="1" applyFill="1" applyBorder="1" applyAlignment="1">
      <alignment horizontal="center" vertical="center"/>
    </xf>
    <xf numFmtId="0" fontId="0" fillId="0" borderId="22" xfId="0" applyBorder="1" applyAlignment="1">
      <alignment vertical="center"/>
    </xf>
    <xf numFmtId="0" fontId="0" fillId="0" borderId="50" xfId="0" applyBorder="1" applyAlignment="1">
      <alignment vertical="center"/>
    </xf>
    <xf numFmtId="0" fontId="20" fillId="0" borderId="51" xfId="0" applyFont="1" applyBorder="1" applyAlignment="1">
      <alignment vertical="center"/>
    </xf>
    <xf numFmtId="0" fontId="0" fillId="0" borderId="52" xfId="0" applyBorder="1" applyAlignment="1">
      <alignment vertical="center"/>
    </xf>
    <xf numFmtId="0" fontId="0" fillId="0" borderId="29" xfId="0" applyBorder="1" applyAlignment="1">
      <alignment vertical="center"/>
    </xf>
    <xf numFmtId="0" fontId="0" fillId="0" borderId="43" xfId="0" applyFont="1" applyBorder="1" applyAlignment="1">
      <alignment horizontal="right" vertical="center"/>
    </xf>
    <xf numFmtId="0" fontId="0" fillId="0" borderId="41" xfId="0" applyFont="1" applyBorder="1" applyAlignment="1">
      <alignment vertical="center"/>
    </xf>
    <xf numFmtId="42" fontId="37" fillId="18" borderId="41" xfId="0" applyNumberFormat="1" applyFont="1" applyFill="1" applyBorder="1" applyAlignment="1">
      <alignment horizontal="center" vertical="center"/>
    </xf>
    <xf numFmtId="42" fontId="49" fillId="18" borderId="37" xfId="0" applyNumberFormat="1" applyFont="1" applyFill="1" applyBorder="1" applyAlignment="1">
      <alignment horizontal="center" vertical="center"/>
    </xf>
    <xf numFmtId="42" fontId="49" fillId="18" borderId="42" xfId="0" applyNumberFormat="1" applyFont="1" applyFill="1" applyBorder="1" applyAlignment="1">
      <alignment horizontal="center" vertical="center"/>
    </xf>
    <xf numFmtId="42" fontId="37" fillId="18" borderId="18" xfId="0" applyNumberFormat="1" applyFont="1" applyFill="1" applyBorder="1" applyAlignment="1">
      <alignment horizontal="center" vertical="center"/>
    </xf>
    <xf numFmtId="42" fontId="49" fillId="18" borderId="13" xfId="0" applyNumberFormat="1" applyFont="1" applyFill="1" applyBorder="1" applyAlignment="1">
      <alignment horizontal="center" vertical="center"/>
    </xf>
    <xf numFmtId="42" fontId="49" fillId="18" borderId="65" xfId="0" applyNumberFormat="1" applyFont="1" applyFill="1" applyBorder="1" applyAlignment="1">
      <alignment horizontal="center" vertical="center"/>
    </xf>
    <xf numFmtId="0" fontId="37" fillId="18" borderId="81" xfId="0" applyFont="1" applyFill="1" applyBorder="1" applyAlignment="1">
      <alignment horizontal="center" vertical="center"/>
    </xf>
    <xf numFmtId="0" fontId="3" fillId="0" borderId="63" xfId="0" applyFont="1" applyBorder="1" applyAlignment="1">
      <alignment horizontal="center" vertical="center"/>
    </xf>
    <xf numFmtId="0" fontId="64" fillId="2" borderId="48" xfId="0" applyFont="1" applyFill="1" applyBorder="1" applyAlignment="1">
      <alignment horizontal="center" vertical="center"/>
    </xf>
    <xf numFmtId="42" fontId="37" fillId="18" borderId="37" xfId="0" applyNumberFormat="1" applyFont="1" applyFill="1" applyBorder="1" applyAlignment="1">
      <alignment horizontal="center" vertical="center"/>
    </xf>
    <xf numFmtId="42" fontId="0" fillId="0" borderId="37" xfId="0" applyNumberFormat="1" applyBorder="1" applyAlignment="1">
      <alignment horizontal="center" vertical="center"/>
    </xf>
    <xf numFmtId="42" fontId="37" fillId="18" borderId="13" xfId="0" applyNumberFormat="1" applyFont="1" applyFill="1" applyBorder="1" applyAlignment="1">
      <alignment horizontal="center" vertical="center"/>
    </xf>
    <xf numFmtId="42" fontId="0" fillId="0" borderId="13" xfId="0" applyNumberFormat="1" applyBorder="1" applyAlignment="1">
      <alignment horizontal="center" vertical="center"/>
    </xf>
    <xf numFmtId="42" fontId="0" fillId="0" borderId="42" xfId="0" applyNumberFormat="1" applyFont="1" applyBorder="1" applyAlignment="1">
      <alignment horizontal="center" vertical="center"/>
    </xf>
    <xf numFmtId="42" fontId="49" fillId="0" borderId="37" xfId="0" applyNumberFormat="1" applyFont="1" applyBorder="1" applyAlignment="1">
      <alignment horizontal="center" vertical="center"/>
    </xf>
    <xf numFmtId="42" fontId="49" fillId="0" borderId="42" xfId="0" applyNumberFormat="1" applyFont="1" applyBorder="1" applyAlignment="1">
      <alignment horizontal="center" vertical="center"/>
    </xf>
    <xf numFmtId="42" fontId="49" fillId="0" borderId="13" xfId="0" applyNumberFormat="1" applyFont="1" applyBorder="1" applyAlignment="1">
      <alignment horizontal="center" vertical="center"/>
    </xf>
    <xf numFmtId="42" fontId="49" fillId="0" borderId="65" xfId="0" applyNumberFormat="1" applyFont="1" applyBorder="1" applyAlignment="1">
      <alignment horizontal="center" vertical="center"/>
    </xf>
    <xf numFmtId="42" fontId="3" fillId="7" borderId="34" xfId="0" applyNumberFormat="1" applyFont="1" applyFill="1" applyBorder="1" applyAlignment="1">
      <alignment horizontal="center" vertical="center"/>
    </xf>
    <xf numFmtId="42" fontId="0" fillId="7" borderId="37" xfId="0" applyNumberFormat="1" applyFill="1" applyBorder="1" applyAlignment="1">
      <alignment horizontal="center" vertical="center"/>
    </xf>
    <xf numFmtId="42" fontId="0" fillId="7" borderId="13" xfId="0" applyNumberFormat="1" applyFill="1" applyBorder="1" applyAlignment="1">
      <alignment horizontal="center" vertical="center"/>
    </xf>
    <xf numFmtId="42" fontId="49" fillId="0" borderId="21" xfId="0" applyNumberFormat="1" applyFont="1" applyBorder="1" applyAlignment="1">
      <alignment horizontal="center" vertical="center"/>
    </xf>
    <xf numFmtId="42" fontId="49" fillId="0" borderId="39" xfId="0" applyNumberFormat="1" applyFont="1" applyBorder="1" applyAlignment="1">
      <alignment horizontal="center" vertical="center"/>
    </xf>
    <xf numFmtId="42" fontId="37" fillId="18" borderId="38" xfId="0" applyNumberFormat="1" applyFont="1" applyFill="1" applyBorder="1" applyAlignment="1">
      <alignment horizontal="center" vertical="center"/>
    </xf>
    <xf numFmtId="42" fontId="0" fillId="0" borderId="37" xfId="0" applyNumberFormat="1" applyFont="1" applyBorder="1" applyAlignment="1">
      <alignment horizontal="center" vertical="center"/>
    </xf>
    <xf numFmtId="42" fontId="0" fillId="0" borderId="39" xfId="0" applyNumberFormat="1" applyFont="1" applyBorder="1" applyAlignment="1">
      <alignment horizontal="center" vertical="center"/>
    </xf>
    <xf numFmtId="42" fontId="37" fillId="18" borderId="12" xfId="0" applyNumberFormat="1" applyFont="1" applyFill="1" applyBorder="1" applyAlignment="1">
      <alignment horizontal="center" vertical="center"/>
    </xf>
    <xf numFmtId="42" fontId="0" fillId="0" borderId="13" xfId="0" applyNumberFormat="1" applyFont="1" applyBorder="1" applyAlignment="1">
      <alignment horizontal="center" vertical="center"/>
    </xf>
    <xf numFmtId="42" fontId="0" fillId="0" borderId="21" xfId="0" applyNumberFormat="1" applyFont="1" applyBorder="1" applyAlignment="1">
      <alignment horizontal="center" vertical="center"/>
    </xf>
    <xf numFmtId="0" fontId="3" fillId="16" borderId="1" xfId="0" applyFont="1" applyFill="1" applyBorder="1" applyAlignment="1">
      <alignment horizontal="right" vertical="center"/>
    </xf>
    <xf numFmtId="42" fontId="3" fillId="15" borderId="1" xfId="0" applyNumberFormat="1" applyFont="1" applyFill="1" applyBorder="1" applyAlignment="1">
      <alignment horizontal="right" vertical="center"/>
    </xf>
    <xf numFmtId="0" fontId="0" fillId="15" borderId="1" xfId="0" applyFill="1" applyBorder="1" applyAlignment="1">
      <alignment vertical="center"/>
    </xf>
    <xf numFmtId="42" fontId="36" fillId="0" borderId="1" xfId="0" applyNumberFormat="1" applyFont="1" applyBorder="1" applyAlignment="1">
      <alignment horizontal="left" vertical="center"/>
    </xf>
    <xf numFmtId="0" fontId="51" fillId="0" borderId="1" xfId="0" applyFont="1" applyBorder="1" applyAlignment="1">
      <alignment horizontal="left" vertical="center"/>
    </xf>
    <xf numFmtId="42" fontId="37" fillId="18" borderId="45" xfId="0" applyNumberFormat="1" applyFont="1" applyFill="1" applyBorder="1" applyAlignment="1">
      <alignment horizontal="center" vertical="center"/>
    </xf>
    <xf numFmtId="42" fontId="37" fillId="18" borderId="46" xfId="0" applyNumberFormat="1" applyFont="1" applyFill="1" applyBorder="1" applyAlignment="1">
      <alignment horizontal="center" vertical="center"/>
    </xf>
    <xf numFmtId="42" fontId="0" fillId="0" borderId="46" xfId="0" applyNumberFormat="1" applyFont="1" applyBorder="1" applyAlignment="1">
      <alignment horizontal="center" vertical="center"/>
    </xf>
    <xf numFmtId="42" fontId="0" fillId="0" borderId="47" xfId="0" applyNumberFormat="1" applyFont="1" applyBorder="1" applyAlignment="1">
      <alignment horizontal="center" vertical="center"/>
    </xf>
    <xf numFmtId="42" fontId="0" fillId="0" borderId="65" xfId="0" applyNumberFormat="1" applyFont="1" applyBorder="1" applyAlignment="1">
      <alignment horizontal="center" vertical="center"/>
    </xf>
    <xf numFmtId="0" fontId="0" fillId="0" borderId="6" xfId="0" applyFont="1" applyFill="1" applyBorder="1" applyAlignment="1">
      <alignment horizontal="left"/>
    </xf>
    <xf numFmtId="0" fontId="0" fillId="0" borderId="42" xfId="0" applyFont="1" applyFill="1" applyBorder="1" applyAlignment="1">
      <alignment horizontal="left"/>
    </xf>
    <xf numFmtId="0" fontId="0" fillId="0" borderId="22" xfId="0" applyBorder="1" applyAlignment="1"/>
    <xf numFmtId="0" fontId="0" fillId="16" borderId="78" xfId="0" applyFill="1" applyBorder="1" applyAlignment="1"/>
    <xf numFmtId="0" fontId="0" fillId="16" borderId="6" xfId="0" applyFill="1" applyBorder="1" applyAlignment="1"/>
    <xf numFmtId="0" fontId="0" fillId="16" borderId="42" xfId="0" applyFill="1" applyBorder="1" applyAlignment="1"/>
    <xf numFmtId="0" fontId="2" fillId="2" borderId="19" xfId="0" applyFont="1" applyFill="1" applyBorder="1" applyAlignment="1"/>
    <xf numFmtId="0" fontId="0" fillId="16" borderId="17" xfId="0" applyFill="1" applyBorder="1" applyAlignment="1"/>
    <xf numFmtId="42" fontId="0" fillId="0" borderId="20" xfId="0" applyNumberFormat="1" applyFill="1" applyBorder="1" applyAlignment="1">
      <alignment horizontal="right"/>
    </xf>
    <xf numFmtId="0" fontId="0" fillId="0" borderId="20" xfId="0" applyFill="1" applyBorder="1" applyAlignment="1">
      <alignment horizontal="right"/>
    </xf>
    <xf numFmtId="0" fontId="0" fillId="0" borderId="39" xfId="0" applyFill="1" applyBorder="1" applyAlignment="1">
      <alignment horizontal="right"/>
    </xf>
    <xf numFmtId="0" fontId="3" fillId="15" borderId="4" xfId="0" applyFont="1" applyFill="1" applyBorder="1" applyAlignment="1">
      <alignment horizontal="right"/>
    </xf>
    <xf numFmtId="0" fontId="3" fillId="15" borderId="40" xfId="0" applyFont="1" applyFill="1" applyBorder="1" applyAlignment="1">
      <alignment horizontal="right"/>
    </xf>
    <xf numFmtId="0" fontId="0" fillId="0" borderId="17" xfId="0" applyBorder="1" applyAlignment="1">
      <alignment horizontal="center"/>
    </xf>
    <xf numFmtId="0" fontId="0" fillId="0" borderId="41" xfId="0" applyBorder="1" applyAlignment="1">
      <alignment horizontal="center"/>
    </xf>
    <xf numFmtId="0" fontId="0" fillId="0" borderId="0" xfId="0" applyBorder="1" applyAlignment="1"/>
    <xf numFmtId="0" fontId="2" fillId="2" borderId="4" xfId="0" applyFont="1" applyFill="1" applyBorder="1" applyAlignment="1"/>
    <xf numFmtId="42" fontId="0" fillId="16" borderId="1" xfId="0" applyNumberFormat="1" applyFill="1" applyBorder="1" applyAlignment="1"/>
    <xf numFmtId="0" fontId="0" fillId="16" borderId="1" xfId="0" quotePrefix="1" applyFill="1" applyBorder="1" applyAlignment="1"/>
    <xf numFmtId="0" fontId="3" fillId="15" borderId="4" xfId="0" applyFont="1" applyFill="1" applyBorder="1" applyAlignment="1"/>
    <xf numFmtId="0" fontId="3" fillId="15" borderId="40" xfId="0" applyFont="1" applyFill="1" applyBorder="1" applyAlignment="1"/>
    <xf numFmtId="0" fontId="0" fillId="0" borderId="17" xfId="0" applyBorder="1" applyAlignment="1"/>
    <xf numFmtId="0" fontId="0" fillId="0" borderId="1" xfId="0" applyFill="1" applyBorder="1" applyAlignment="1">
      <alignment horizontal="left"/>
    </xf>
    <xf numFmtId="0" fontId="0" fillId="0" borderId="37" xfId="0" applyFill="1" applyBorder="1" applyAlignment="1">
      <alignment horizontal="left"/>
    </xf>
    <xf numFmtId="0" fontId="3" fillId="0" borderId="11" xfId="0" applyFont="1" applyBorder="1" applyAlignment="1">
      <alignment horizontal="right"/>
    </xf>
    <xf numFmtId="0" fontId="3" fillId="0" borderId="38" xfId="0" applyFont="1" applyBorder="1" applyAlignment="1">
      <alignment horizontal="right"/>
    </xf>
    <xf numFmtId="0" fontId="3" fillId="0" borderId="6" xfId="0" applyFont="1" applyBorder="1" applyAlignment="1">
      <alignment horizontal="right"/>
    </xf>
    <xf numFmtId="0" fontId="3" fillId="0" borderId="42" xfId="0" applyFont="1" applyBorder="1" applyAlignment="1">
      <alignment horizontal="right"/>
    </xf>
    <xf numFmtId="0" fontId="3" fillId="15" borderId="48" xfId="0" applyFont="1" applyFill="1" applyBorder="1" applyAlignment="1">
      <alignment horizontal="right"/>
    </xf>
    <xf numFmtId="0" fontId="3" fillId="15" borderId="19" xfId="0" applyFont="1" applyFill="1" applyBorder="1" applyAlignment="1">
      <alignment horizontal="right"/>
    </xf>
    <xf numFmtId="0" fontId="3" fillId="3" borderId="36" xfId="0" applyFont="1" applyFill="1" applyBorder="1" applyAlignment="1">
      <alignment horizontal="right"/>
    </xf>
    <xf numFmtId="0" fontId="3" fillId="3" borderId="4" xfId="0" applyFont="1" applyFill="1" applyBorder="1" applyAlignment="1">
      <alignment horizontal="right"/>
    </xf>
    <xf numFmtId="0" fontId="2" fillId="2" borderId="48" xfId="0" applyFont="1" applyFill="1" applyBorder="1" applyAlignment="1"/>
    <xf numFmtId="0" fontId="0" fillId="0" borderId="56" xfId="0" quotePrefix="1" applyBorder="1" applyAlignment="1"/>
    <xf numFmtId="0" fontId="0" fillId="0" borderId="45" xfId="0" applyBorder="1" applyAlignment="1"/>
    <xf numFmtId="0" fontId="0" fillId="0" borderId="54" xfId="0" quotePrefix="1" applyBorder="1" applyAlignment="1"/>
    <xf numFmtId="0" fontId="0" fillId="0" borderId="46" xfId="0" applyBorder="1" applyAlignment="1"/>
    <xf numFmtId="0" fontId="0" fillId="0" borderId="57" xfId="0" quotePrefix="1" applyBorder="1" applyAlignment="1"/>
    <xf numFmtId="0" fontId="0" fillId="0" borderId="47" xfId="0" applyBorder="1" applyAlignment="1"/>
    <xf numFmtId="0" fontId="0" fillId="0" borderId="2" xfId="0" applyBorder="1" applyAlignment="1">
      <alignment horizontal="center"/>
    </xf>
    <xf numFmtId="0" fontId="0" fillId="0" borderId="27" xfId="0" applyBorder="1" applyAlignment="1">
      <alignment horizontal="center"/>
    </xf>
    <xf numFmtId="0" fontId="11" fillId="0" borderId="64" xfId="0" applyFont="1" applyBorder="1" applyAlignment="1"/>
    <xf numFmtId="0" fontId="11" fillId="0" borderId="6" xfId="0" applyFont="1" applyBorder="1" applyAlignment="1"/>
    <xf numFmtId="0" fontId="11" fillId="3" borderId="60" xfId="0" applyFont="1" applyFill="1" applyBorder="1" applyAlignment="1">
      <alignment horizontal="right"/>
    </xf>
    <xf numFmtId="0" fontId="11" fillId="3" borderId="61" xfId="0" applyFont="1" applyFill="1" applyBorder="1" applyAlignment="1">
      <alignment horizontal="right"/>
    </xf>
    <xf numFmtId="0" fontId="11" fillId="2" borderId="36" xfId="0" applyFont="1" applyFill="1" applyBorder="1" applyAlignment="1"/>
    <xf numFmtId="0" fontId="11" fillId="2" borderId="4" xfId="0" applyFont="1" applyFill="1" applyBorder="1" applyAlignment="1"/>
    <xf numFmtId="0" fontId="11" fillId="24" borderId="36" xfId="0" applyFont="1" applyFill="1" applyBorder="1" applyAlignment="1">
      <alignment horizontal="right"/>
    </xf>
    <xf numFmtId="0" fontId="0" fillId="24" borderId="40" xfId="0" applyFill="1" applyBorder="1" applyAlignment="1">
      <alignment horizontal="right"/>
    </xf>
    <xf numFmtId="0" fontId="3" fillId="2" borderId="40" xfId="0" applyFont="1" applyFill="1" applyBorder="1" applyAlignment="1">
      <alignment horizontal="center"/>
    </xf>
    <xf numFmtId="0" fontId="0" fillId="0" borderId="70" xfId="0" applyBorder="1" applyAlignment="1">
      <alignment horizontal="center"/>
    </xf>
    <xf numFmtId="0" fontId="3" fillId="0" borderId="82" xfId="0" applyFont="1" applyBorder="1" applyAlignment="1">
      <alignment horizontal="center" vertical="center" wrapText="1"/>
    </xf>
    <xf numFmtId="0" fontId="3" fillId="0" borderId="83" xfId="0" applyFont="1" applyBorder="1" applyAlignment="1">
      <alignment horizontal="center" vertical="center" wrapText="1"/>
    </xf>
    <xf numFmtId="0" fontId="3" fillId="0" borderId="84" xfId="0" applyFont="1" applyBorder="1" applyAlignment="1">
      <alignment horizontal="center" vertical="center" wrapText="1"/>
    </xf>
    <xf numFmtId="0" fontId="3" fillId="0" borderId="7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7" xfId="0" applyFont="1" applyBorder="1" applyAlignment="1">
      <alignment horizontal="center" vertical="center" wrapText="1"/>
    </xf>
    <xf numFmtId="42" fontId="3" fillId="2" borderId="40" xfId="0" applyNumberFormat="1" applyFont="1" applyFill="1" applyBorder="1" applyAlignment="1">
      <alignment horizontal="center"/>
    </xf>
    <xf numFmtId="0" fontId="33" fillId="3" borderId="40" xfId="0" applyFont="1" applyFill="1" applyBorder="1" applyAlignment="1">
      <alignment horizontal="right"/>
    </xf>
    <xf numFmtId="0" fontId="33" fillId="3" borderId="19" xfId="0" applyFont="1" applyFill="1" applyBorder="1" applyAlignment="1">
      <alignment horizontal="right"/>
    </xf>
    <xf numFmtId="42" fontId="3" fillId="2" borderId="19" xfId="0" applyNumberFormat="1" applyFont="1" applyFill="1" applyBorder="1" applyAlignment="1">
      <alignment horizontal="center"/>
    </xf>
    <xf numFmtId="0" fontId="3" fillId="2" borderId="48" xfId="0" applyFont="1" applyFill="1" applyBorder="1" applyAlignment="1">
      <alignment horizontal="center"/>
    </xf>
    <xf numFmtId="0" fontId="3" fillId="2" borderId="4" xfId="0" applyFont="1" applyFill="1" applyBorder="1" applyAlignment="1">
      <alignment horizontal="left"/>
    </xf>
    <xf numFmtId="0" fontId="3" fillId="2" borderId="40" xfId="0" applyFont="1" applyFill="1" applyBorder="1" applyAlignment="1">
      <alignment horizontal="left"/>
    </xf>
    <xf numFmtId="0" fontId="3" fillId="0" borderId="0" xfId="0" applyFont="1" applyFill="1" applyBorder="1" applyAlignment="1">
      <alignment horizontal="right"/>
    </xf>
    <xf numFmtId="0" fontId="11" fillId="0" borderId="33" xfId="0" applyFont="1" applyBorder="1" applyAlignment="1"/>
    <xf numFmtId="0" fontId="11" fillId="0" borderId="11" xfId="0" applyFont="1" applyBorder="1" applyAlignment="1"/>
    <xf numFmtId="0" fontId="11" fillId="0" borderId="34" xfId="0" applyFont="1" applyBorder="1" applyAlignment="1"/>
    <xf numFmtId="0" fontId="11" fillId="0" borderId="1" xfId="0" applyFont="1" applyBorder="1" applyAlignment="1"/>
    <xf numFmtId="0" fontId="0" fillId="0" borderId="0" xfId="0" applyAlignment="1"/>
    <xf numFmtId="0" fontId="28" fillId="2" borderId="61" xfId="0" applyFont="1" applyFill="1" applyBorder="1" applyAlignment="1"/>
    <xf numFmtId="0" fontId="28" fillId="2" borderId="66" xfId="0" applyFont="1" applyFill="1" applyBorder="1" applyAlignment="1"/>
    <xf numFmtId="42" fontId="3" fillId="2" borderId="23" xfId="0" applyNumberFormat="1" applyFont="1" applyFill="1" applyBorder="1" applyAlignment="1">
      <alignment horizontal="center" wrapText="1"/>
    </xf>
    <xf numFmtId="42" fontId="3" fillId="2" borderId="24" xfId="0" applyNumberFormat="1" applyFont="1" applyFill="1" applyBorder="1" applyAlignment="1">
      <alignment horizontal="center" wrapText="1"/>
    </xf>
    <xf numFmtId="0" fontId="3" fillId="15" borderId="5" xfId="0" applyFont="1" applyFill="1" applyBorder="1" applyAlignment="1">
      <alignment horizontal="right"/>
    </xf>
    <xf numFmtId="0" fontId="28" fillId="2" borderId="4" xfId="0" applyFont="1" applyFill="1" applyBorder="1" applyAlignment="1"/>
    <xf numFmtId="0" fontId="28" fillId="2" borderId="40" xfId="0" applyFont="1" applyFill="1" applyBorder="1" applyAlignment="1"/>
    <xf numFmtId="42" fontId="0" fillId="16" borderId="6" xfId="0" applyNumberFormat="1" applyFill="1" applyBorder="1" applyAlignment="1"/>
    <xf numFmtId="0" fontId="3" fillId="3" borderId="5" xfId="0" applyFont="1" applyFill="1" applyBorder="1" applyAlignment="1">
      <alignment horizontal="right"/>
    </xf>
    <xf numFmtId="0" fontId="28" fillId="2" borderId="19" xfId="0" applyFont="1" applyFill="1" applyBorder="1" applyAlignment="1"/>
    <xf numFmtId="42" fontId="0" fillId="16" borderId="11" xfId="0" applyNumberFormat="1" applyFill="1" applyBorder="1" applyAlignment="1"/>
    <xf numFmtId="0" fontId="3" fillId="15" borderId="59" xfId="0" applyFont="1" applyFill="1" applyBorder="1" applyAlignment="1">
      <alignment horizontal="right"/>
    </xf>
    <xf numFmtId="0" fontId="3" fillId="15" borderId="67" xfId="0" applyFont="1" applyFill="1" applyBorder="1" applyAlignment="1">
      <alignment horizontal="right"/>
    </xf>
    <xf numFmtId="42" fontId="0" fillId="16" borderId="36" xfId="0" applyNumberFormat="1" applyFill="1" applyBorder="1" applyAlignment="1"/>
    <xf numFmtId="0" fontId="0" fillId="16" borderId="4" xfId="0" applyFill="1" applyBorder="1" applyAlignment="1"/>
    <xf numFmtId="0" fontId="0" fillId="16" borderId="40" xfId="0" applyFill="1" applyBorder="1" applyAlignment="1"/>
    <xf numFmtId="0" fontId="3" fillId="15" borderId="60" xfId="0" applyFont="1" applyFill="1" applyBorder="1" applyAlignment="1"/>
    <xf numFmtId="0" fontId="3" fillId="15" borderId="61" xfId="0" applyFont="1" applyFill="1" applyBorder="1" applyAlignment="1"/>
    <xf numFmtId="0" fontId="3" fillId="15" borderId="66" xfId="0" applyFont="1" applyFill="1" applyBorder="1" applyAlignment="1"/>
    <xf numFmtId="0" fontId="3" fillId="3" borderId="36" xfId="0" applyFont="1" applyFill="1" applyBorder="1" applyAlignment="1">
      <alignment horizontal="left"/>
    </xf>
    <xf numFmtId="0" fontId="3" fillId="3" borderId="4" xfId="0" applyFont="1" applyFill="1" applyBorder="1" applyAlignment="1">
      <alignment horizontal="left"/>
    </xf>
    <xf numFmtId="0" fontId="3" fillId="3" borderId="40" xfId="0" applyFont="1" applyFill="1" applyBorder="1" applyAlignment="1">
      <alignment horizontal="left"/>
    </xf>
    <xf numFmtId="0" fontId="41" fillId="23" borderId="48" xfId="0" applyFont="1" applyFill="1" applyBorder="1" applyAlignment="1">
      <alignment horizontal="left"/>
    </xf>
    <xf numFmtId="0" fontId="2" fillId="0" borderId="19" xfId="0" applyFont="1" applyBorder="1" applyAlignment="1">
      <alignment horizontal="left"/>
    </xf>
    <xf numFmtId="0" fontId="2" fillId="0" borderId="28" xfId="0" applyFont="1" applyBorder="1" applyAlignment="1">
      <alignment horizontal="left"/>
    </xf>
    <xf numFmtId="0" fontId="0" fillId="0" borderId="64" xfId="0" applyBorder="1" applyAlignment="1">
      <alignment horizontal="right"/>
    </xf>
    <xf numFmtId="0" fontId="0" fillId="0" borderId="6" xfId="0" applyBorder="1" applyAlignment="1">
      <alignment horizontal="right"/>
    </xf>
    <xf numFmtId="0" fontId="0" fillId="0" borderId="42" xfId="0" applyBorder="1" applyAlignment="1">
      <alignment horizontal="right"/>
    </xf>
    <xf numFmtId="0" fontId="0" fillId="0" borderId="2" xfId="0" applyBorder="1" applyAlignment="1"/>
    <xf numFmtId="42" fontId="0" fillId="16" borderId="17" xfId="0" applyNumberFormat="1" applyFont="1" applyFill="1" applyBorder="1" applyAlignment="1"/>
    <xf numFmtId="0" fontId="0" fillId="16" borderId="17" xfId="0" applyFont="1" applyFill="1" applyBorder="1" applyAlignment="1"/>
    <xf numFmtId="0" fontId="0" fillId="16" borderId="41" xfId="0" applyFont="1" applyFill="1" applyBorder="1" applyAlignment="1"/>
    <xf numFmtId="0" fontId="3" fillId="2" borderId="4" xfId="0" applyFont="1" applyFill="1" applyBorder="1" applyAlignment="1"/>
    <xf numFmtId="0" fontId="3" fillId="2" borderId="40" xfId="0" applyFont="1" applyFill="1" applyBorder="1" applyAlignment="1"/>
    <xf numFmtId="42" fontId="3" fillId="2" borderId="36" xfId="0" applyNumberFormat="1" applyFont="1" applyFill="1" applyBorder="1" applyAlignment="1">
      <alignment horizontal="center"/>
    </xf>
    <xf numFmtId="0" fontId="3" fillId="2" borderId="4" xfId="0" applyFont="1" applyFill="1" applyBorder="1" applyAlignment="1">
      <alignment horizontal="center"/>
    </xf>
    <xf numFmtId="0" fontId="3" fillId="0" borderId="43" xfId="0" applyFont="1" applyFill="1" applyBorder="1" applyAlignment="1">
      <alignment horizontal="right"/>
    </xf>
    <xf numFmtId="0" fontId="3" fillId="0" borderId="17" xfId="0" applyFont="1" applyFill="1" applyBorder="1" applyAlignment="1">
      <alignment horizontal="right"/>
    </xf>
    <xf numFmtId="0" fontId="3" fillId="0" borderId="41" xfId="0" applyFont="1" applyFill="1" applyBorder="1" applyAlignment="1">
      <alignment horizontal="right"/>
    </xf>
    <xf numFmtId="0" fontId="0" fillId="0" borderId="43" xfId="0" applyFont="1" applyFill="1" applyBorder="1" applyAlignment="1">
      <alignment horizontal="right"/>
    </xf>
    <xf numFmtId="0" fontId="0" fillId="0" borderId="17" xfId="0" applyFont="1" applyFill="1" applyBorder="1" applyAlignment="1">
      <alignment horizontal="right"/>
    </xf>
    <xf numFmtId="0" fontId="0" fillId="0" borderId="41" xfId="0" applyFont="1" applyFill="1" applyBorder="1" applyAlignment="1">
      <alignment horizontal="right"/>
    </xf>
    <xf numFmtId="0" fontId="0" fillId="0" borderId="64" xfId="0" applyFont="1" applyFill="1" applyBorder="1" applyAlignment="1">
      <alignment horizontal="right"/>
    </xf>
    <xf numFmtId="0" fontId="0" fillId="0" borderId="6" xfId="0" applyFont="1" applyFill="1" applyBorder="1" applyAlignment="1">
      <alignment horizontal="right"/>
    </xf>
    <xf numFmtId="0" fontId="0" fillId="0" borderId="42" xfId="0" applyFont="1" applyFill="1" applyBorder="1" applyAlignment="1">
      <alignment horizontal="right"/>
    </xf>
    <xf numFmtId="0" fontId="3" fillId="15" borderId="36" xfId="0" applyFont="1" applyFill="1" applyBorder="1" applyAlignment="1">
      <alignment horizontal="right"/>
    </xf>
    <xf numFmtId="0" fontId="0" fillId="0" borderId="77" xfId="0" applyBorder="1" applyAlignment="1">
      <alignment horizontal="right"/>
    </xf>
    <xf numFmtId="0" fontId="0" fillId="0" borderId="2" xfId="0" applyBorder="1" applyAlignment="1">
      <alignment horizontal="right"/>
    </xf>
    <xf numFmtId="0" fontId="0" fillId="0" borderId="27" xfId="0" applyBorder="1" applyAlignment="1">
      <alignment horizontal="right"/>
    </xf>
    <xf numFmtId="0" fontId="33" fillId="3" borderId="36" xfId="0" applyFont="1" applyFill="1" applyBorder="1" applyAlignment="1">
      <alignment horizontal="right"/>
    </xf>
    <xf numFmtId="0" fontId="33" fillId="3" borderId="4" xfId="0" applyFont="1" applyFill="1" applyBorder="1" applyAlignment="1">
      <alignment horizontal="right"/>
    </xf>
    <xf numFmtId="0" fontId="3" fillId="2" borderId="19" xfId="0" applyFont="1" applyFill="1" applyBorder="1" applyAlignment="1">
      <alignment horizontal="right"/>
    </xf>
    <xf numFmtId="0" fontId="3" fillId="2" borderId="28" xfId="0" applyFont="1" applyFill="1" applyBorder="1" applyAlignment="1">
      <alignment horizontal="right"/>
    </xf>
    <xf numFmtId="0" fontId="5" fillId="0" borderId="34" xfId="0" applyFont="1" applyBorder="1" applyAlignment="1"/>
    <xf numFmtId="0" fontId="5" fillId="0" borderId="1" xfId="0" applyFont="1" applyBorder="1" applyAlignment="1"/>
    <xf numFmtId="0" fontId="5" fillId="0" borderId="13" xfId="0" applyFont="1" applyBorder="1" applyAlignment="1"/>
    <xf numFmtId="0" fontId="5" fillId="0" borderId="35" xfId="0" applyFont="1" applyBorder="1" applyAlignment="1"/>
    <xf numFmtId="0" fontId="5" fillId="0" borderId="20" xfId="0" applyFont="1" applyBorder="1" applyAlignment="1"/>
    <xf numFmtId="0" fontId="5" fillId="0" borderId="21" xfId="0" applyFont="1" applyBorder="1" applyAlignment="1"/>
    <xf numFmtId="0" fontId="3" fillId="2" borderId="49" xfId="0" applyFont="1" applyFill="1" applyBorder="1" applyAlignment="1"/>
    <xf numFmtId="0" fontId="3" fillId="2" borderId="22" xfId="0" applyFont="1" applyFill="1" applyBorder="1" applyAlignment="1"/>
    <xf numFmtId="0" fontId="3" fillId="2" borderId="50" xfId="0" applyFont="1" applyFill="1" applyBorder="1" applyAlignment="1"/>
    <xf numFmtId="0" fontId="5" fillId="0" borderId="33" xfId="0" applyFont="1" applyBorder="1" applyAlignment="1"/>
    <xf numFmtId="0" fontId="5" fillId="0" borderId="11" xfId="0" applyFont="1" applyBorder="1" applyAlignment="1"/>
    <xf numFmtId="0" fontId="5" fillId="0" borderId="12" xfId="0" applyFont="1" applyBorder="1" applyAlignment="1"/>
    <xf numFmtId="0" fontId="9" fillId="0" borderId="43" xfId="1" applyFont="1" applyBorder="1" applyAlignment="1">
      <alignment vertical="top"/>
    </xf>
    <xf numFmtId="0" fontId="0" fillId="0" borderId="17" xfId="0" applyFont="1" applyBorder="1" applyAlignment="1">
      <alignment vertical="top"/>
    </xf>
    <xf numFmtId="0" fontId="0" fillId="0" borderId="41" xfId="0" applyFont="1" applyBorder="1" applyAlignment="1">
      <alignment vertical="top"/>
    </xf>
    <xf numFmtId="0" fontId="9" fillId="0" borderId="35" xfId="1" applyFont="1" applyBorder="1" applyAlignment="1">
      <alignment vertical="top"/>
    </xf>
    <xf numFmtId="0" fontId="0" fillId="0" borderId="20" xfId="0" applyFont="1" applyBorder="1" applyAlignment="1">
      <alignment vertical="top"/>
    </xf>
    <xf numFmtId="0" fontId="0" fillId="0" borderId="39" xfId="0" applyFont="1" applyBorder="1" applyAlignment="1">
      <alignment vertical="top"/>
    </xf>
    <xf numFmtId="0" fontId="3" fillId="2" borderId="14" xfId="0" applyFont="1" applyFill="1" applyBorder="1" applyAlignment="1">
      <alignment horizontal="center" vertical="center" wrapText="1"/>
    </xf>
    <xf numFmtId="0" fontId="0" fillId="0" borderId="14" xfId="0" applyFont="1" applyBorder="1" applyAlignment="1">
      <alignment vertical="center" wrapText="1"/>
    </xf>
    <xf numFmtId="0" fontId="0" fillId="0" borderId="24" xfId="0" applyFont="1" applyBorder="1" applyAlignment="1">
      <alignment vertical="center" wrapText="1"/>
    </xf>
    <xf numFmtId="0" fontId="3" fillId="2" borderId="49"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0" fillId="0" borderId="44" xfId="0" applyFont="1" applyBorder="1" applyAlignment="1">
      <alignment vertical="center" wrapText="1"/>
    </xf>
    <xf numFmtId="0" fontId="0" fillId="0" borderId="51" xfId="0" applyFont="1" applyBorder="1" applyAlignment="1">
      <alignment vertical="center" wrapText="1"/>
    </xf>
    <xf numFmtId="0" fontId="9" fillId="0" borderId="34" xfId="1" applyFont="1" applyBorder="1" applyAlignment="1">
      <alignment vertical="top"/>
    </xf>
    <xf numFmtId="0" fontId="0" fillId="0" borderId="1" xfId="0" applyFont="1" applyBorder="1" applyAlignment="1">
      <alignment vertical="top"/>
    </xf>
    <xf numFmtId="0" fontId="0" fillId="0" borderId="37" xfId="0" applyFont="1" applyBorder="1" applyAlignment="1">
      <alignment vertical="top"/>
    </xf>
    <xf numFmtId="0" fontId="11" fillId="3" borderId="36" xfId="1" applyFont="1" applyFill="1" applyBorder="1" applyAlignment="1">
      <alignment horizontal="right" vertical="center"/>
    </xf>
    <xf numFmtId="0" fontId="3" fillId="3" borderId="4" xfId="0" applyFont="1" applyFill="1" applyBorder="1" applyAlignment="1">
      <alignment horizontal="right" vertical="center"/>
    </xf>
    <xf numFmtId="0" fontId="3" fillId="3" borderId="40" xfId="0" applyFont="1" applyFill="1" applyBorder="1" applyAlignment="1">
      <alignment horizontal="right" vertical="center"/>
    </xf>
    <xf numFmtId="0" fontId="11" fillId="2" borderId="8" xfId="0" applyFont="1" applyFill="1" applyBorder="1" applyAlignment="1">
      <alignment horizontal="center" wrapText="1"/>
    </xf>
    <xf numFmtId="0" fontId="9" fillId="2" borderId="9" xfId="0" applyFont="1" applyFill="1" applyBorder="1" applyAlignment="1">
      <alignment wrapText="1"/>
    </xf>
    <xf numFmtId="0" fontId="9" fillId="2" borderId="26" xfId="0" applyFont="1" applyFill="1" applyBorder="1" applyAlignment="1">
      <alignment wrapText="1"/>
    </xf>
    <xf numFmtId="0" fontId="3" fillId="7" borderId="48" xfId="0" applyFont="1" applyFill="1" applyBorder="1" applyAlignment="1">
      <alignment horizontal="center"/>
    </xf>
    <xf numFmtId="0" fontId="3" fillId="7" borderId="19" xfId="0" applyFont="1" applyFill="1" applyBorder="1" applyAlignment="1">
      <alignment horizontal="center"/>
    </xf>
    <xf numFmtId="0" fontId="3" fillId="7" borderId="28" xfId="0" applyFont="1" applyFill="1" applyBorder="1" applyAlignment="1">
      <alignment horizontal="center"/>
    </xf>
    <xf numFmtId="0" fontId="3" fillId="2" borderId="11"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0" xfId="0" applyFont="1" applyFill="1" applyBorder="1" applyAlignment="1">
      <alignment horizontal="center" vertical="center" wrapText="1"/>
    </xf>
    <xf numFmtId="44" fontId="3" fillId="2" borderId="49" xfId="0" applyNumberFormat="1" applyFont="1" applyFill="1" applyBorder="1" applyAlignment="1">
      <alignment horizontal="center"/>
    </xf>
    <xf numFmtId="0" fontId="3" fillId="2" borderId="22" xfId="0" applyFont="1" applyFill="1" applyBorder="1" applyAlignment="1">
      <alignment horizontal="center"/>
    </xf>
    <xf numFmtId="0" fontId="0" fillId="0" borderId="22" xfId="0" applyFont="1" applyBorder="1" applyAlignment="1"/>
    <xf numFmtId="0" fontId="0" fillId="0" borderId="50" xfId="0" applyFont="1" applyBorder="1" applyAlignment="1"/>
    <xf numFmtId="0" fontId="3" fillId="2" borderId="12"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2" borderId="76" xfId="0" applyFont="1" applyFill="1" applyBorder="1" applyAlignment="1">
      <alignment horizontal="center" vertical="center" wrapText="1"/>
    </xf>
    <xf numFmtId="0" fontId="3" fillId="22" borderId="16" xfId="0" applyFont="1" applyFill="1" applyBorder="1" applyAlignment="1">
      <alignment horizontal="center" vertical="center" wrapText="1"/>
    </xf>
    <xf numFmtId="0" fontId="3" fillId="22" borderId="7" xfId="0" applyFont="1" applyFill="1" applyBorder="1" applyAlignment="1">
      <alignment horizontal="center" vertical="center" wrapText="1"/>
    </xf>
    <xf numFmtId="0" fontId="3" fillId="22" borderId="68"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2" borderId="49" xfId="0" applyFont="1" applyFill="1" applyBorder="1" applyAlignment="1">
      <alignment horizontal="center" wrapText="1"/>
    </xf>
    <xf numFmtId="0" fontId="0" fillId="22" borderId="44" xfId="0" applyFont="1" applyFill="1" applyBorder="1" applyAlignment="1">
      <alignment wrapText="1"/>
    </xf>
    <xf numFmtId="0" fontId="0" fillId="22" borderId="51" xfId="0" applyFont="1" applyFill="1" applyBorder="1" applyAlignment="1">
      <alignment wrapText="1"/>
    </xf>
    <xf numFmtId="0" fontId="10" fillId="5" borderId="1" xfId="0" applyFont="1" applyFill="1" applyBorder="1" applyAlignment="1"/>
    <xf numFmtId="0" fontId="3" fillId="2" borderId="33" xfId="0" applyFont="1" applyFill="1" applyBorder="1" applyAlignment="1">
      <alignment horizontal="center" vertical="center" wrapText="1"/>
    </xf>
    <xf numFmtId="0" fontId="3" fillId="2" borderId="43" xfId="0" applyFont="1" applyFill="1" applyBorder="1" applyAlignment="1">
      <alignment horizontal="center" vertical="center" wrapText="1"/>
    </xf>
    <xf numFmtId="0" fontId="0" fillId="0" borderId="34" xfId="0" applyFont="1" applyBorder="1" applyAlignment="1">
      <alignment horizontal="center" vertical="center" wrapText="1"/>
    </xf>
    <xf numFmtId="0" fontId="0" fillId="0" borderId="64"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65" xfId="0" applyFont="1" applyBorder="1" applyAlignment="1">
      <alignment horizontal="center" vertical="center" wrapText="1"/>
    </xf>
    <xf numFmtId="0" fontId="0" fillId="0" borderId="14" xfId="0" applyFont="1" applyBorder="1" applyAlignment="1">
      <alignment horizontal="center" vertical="center" wrapText="1"/>
    </xf>
    <xf numFmtId="0" fontId="9" fillId="0" borderId="60" xfId="1" applyFont="1" applyBorder="1" applyAlignment="1">
      <alignment vertical="top"/>
    </xf>
    <xf numFmtId="0" fontId="0" fillId="0" borderId="61" xfId="0" applyFont="1" applyBorder="1" applyAlignment="1">
      <alignment vertical="top"/>
    </xf>
    <xf numFmtId="0" fontId="0" fillId="0" borderId="66" xfId="0" applyFont="1" applyBorder="1" applyAlignment="1">
      <alignment vertical="top"/>
    </xf>
    <xf numFmtId="0" fontId="11" fillId="2" borderId="60" xfId="1" applyFont="1" applyFill="1" applyBorder="1" applyAlignment="1">
      <alignment horizontal="left" vertical="top"/>
    </xf>
    <xf numFmtId="0" fontId="0" fillId="2" borderId="61" xfId="0" applyFont="1" applyFill="1" applyBorder="1" applyAlignment="1">
      <alignment horizontal="left" vertical="top"/>
    </xf>
    <xf numFmtId="0" fontId="0" fillId="2" borderId="66" xfId="0" applyFont="1" applyFill="1" applyBorder="1" applyAlignment="1">
      <alignment horizontal="left" vertical="top"/>
    </xf>
    <xf numFmtId="0" fontId="11" fillId="2" borderId="8" xfId="1" applyFont="1" applyFill="1" applyBorder="1" applyAlignment="1">
      <alignment horizontal="center" vertical="top" wrapText="1"/>
    </xf>
    <xf numFmtId="0" fontId="0" fillId="2" borderId="10" xfId="0" applyFont="1" applyFill="1" applyBorder="1" applyAlignment="1">
      <alignment wrapText="1"/>
    </xf>
    <xf numFmtId="0" fontId="0" fillId="2" borderId="26" xfId="0" applyFont="1" applyFill="1" applyBorder="1" applyAlignment="1">
      <alignment wrapText="1"/>
    </xf>
    <xf numFmtId="6" fontId="11" fillId="16" borderId="36" xfId="1" applyNumberFormat="1" applyFont="1" applyFill="1" applyBorder="1" applyAlignment="1">
      <alignment horizontal="left" vertical="top"/>
    </xf>
    <xf numFmtId="0" fontId="9" fillId="16" borderId="4" xfId="0" applyFont="1" applyFill="1" applyBorder="1" applyAlignment="1">
      <alignment vertical="top"/>
    </xf>
    <xf numFmtId="0" fontId="9" fillId="16" borderId="40" xfId="0" applyFont="1" applyFill="1" applyBorder="1" applyAlignment="1">
      <alignment vertical="top"/>
    </xf>
    <xf numFmtId="0" fontId="3" fillId="5" borderId="17" xfId="0" applyFont="1" applyFill="1" applyBorder="1" applyAlignment="1">
      <alignment horizontal="left"/>
    </xf>
    <xf numFmtId="0" fontId="0" fillId="5" borderId="17" xfId="0" applyFont="1" applyFill="1" applyBorder="1" applyAlignment="1"/>
    <xf numFmtId="0" fontId="3" fillId="2" borderId="49" xfId="0" applyFont="1" applyFill="1" applyBorder="1" applyAlignment="1">
      <alignment horizontal="center" vertical="center"/>
    </xf>
    <xf numFmtId="0" fontId="3" fillId="2" borderId="22" xfId="0" applyFont="1" applyFill="1" applyBorder="1" applyAlignment="1">
      <alignment horizontal="center" vertical="center"/>
    </xf>
    <xf numFmtId="0" fontId="0" fillId="0" borderId="50" xfId="0" applyFont="1" applyBorder="1" applyAlignment="1">
      <alignment vertical="center"/>
    </xf>
    <xf numFmtId="0" fontId="3" fillId="3" borderId="48" xfId="0" applyFont="1" applyFill="1" applyBorder="1" applyAlignment="1"/>
    <xf numFmtId="0" fontId="0" fillId="0" borderId="19" xfId="0" applyFont="1" applyBorder="1" applyAlignment="1"/>
    <xf numFmtId="0" fontId="0" fillId="0" borderId="28" xfId="0" applyFont="1" applyBorder="1" applyAlignment="1"/>
    <xf numFmtId="0" fontId="3" fillId="2" borderId="51"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16" borderId="73" xfId="0" applyFont="1" applyFill="1" applyBorder="1" applyAlignment="1">
      <alignment horizontal="center" wrapText="1"/>
    </xf>
    <xf numFmtId="0" fontId="3" fillId="16" borderId="74" xfId="0" applyFont="1" applyFill="1" applyBorder="1" applyAlignment="1">
      <alignment wrapText="1"/>
    </xf>
    <xf numFmtId="0" fontId="3" fillId="16" borderId="75" xfId="0" applyFont="1" applyFill="1" applyBorder="1" applyAlignment="1">
      <alignment wrapText="1"/>
    </xf>
  </cellXfs>
  <cellStyles count="3">
    <cellStyle name="Hyperlink" xfId="2" builtinId="8"/>
    <cellStyle name="Normal 2" xfId="1" xr:uid="{00000000-0005-0000-0000-000001000000}"/>
    <cellStyle name="Standaard" xfId="0" builtinId="0"/>
  </cellStyles>
  <dxfs count="127">
    <dxf>
      <fill>
        <patternFill>
          <bgColor theme="5" tint="0.39994506668294322"/>
        </patternFill>
      </fill>
    </dxf>
    <dxf>
      <fill>
        <patternFill>
          <bgColor theme="7" tint="0.59996337778862885"/>
        </patternFill>
      </fill>
    </dxf>
    <dxf>
      <fill>
        <patternFill>
          <bgColor theme="6" tint="0.59996337778862885"/>
        </patternFill>
      </fill>
    </dxf>
    <dxf>
      <fill>
        <patternFill>
          <bgColor theme="5" tint="0.39994506668294322"/>
        </patternFill>
      </fill>
    </dxf>
    <dxf>
      <fill>
        <patternFill>
          <bgColor theme="7" tint="0.59996337778862885"/>
        </patternFill>
      </fill>
    </dxf>
    <dxf>
      <fill>
        <patternFill>
          <bgColor theme="6" tint="0.59996337778862885"/>
        </patternFill>
      </fill>
    </dxf>
    <dxf>
      <fill>
        <patternFill>
          <bgColor theme="5" tint="0.39994506668294322"/>
        </patternFill>
      </fill>
    </dxf>
    <dxf>
      <fill>
        <patternFill>
          <bgColor theme="7" tint="0.59996337778862885"/>
        </patternFill>
      </fill>
    </dxf>
    <dxf>
      <fill>
        <patternFill>
          <bgColor theme="6" tint="0.59996337778862885"/>
        </patternFill>
      </fill>
    </dxf>
    <dxf>
      <fill>
        <patternFill>
          <bgColor rgb="FFFFC000"/>
        </patternFill>
      </fill>
    </dxf>
    <dxf>
      <fill>
        <patternFill>
          <bgColor rgb="FF92D050"/>
        </patternFill>
      </fill>
    </dxf>
    <dxf>
      <fill>
        <patternFill>
          <bgColor rgb="FF92D050"/>
        </patternFill>
      </fill>
    </dxf>
    <dxf>
      <fill>
        <patternFill patternType="lightGray">
          <bgColor rgb="FFFFC000"/>
        </patternFill>
      </fill>
    </dxf>
    <dxf>
      <fill>
        <patternFill>
          <bgColor rgb="FF92D050"/>
        </patternFill>
      </fill>
    </dxf>
    <dxf>
      <fill>
        <patternFill>
          <bgColor rgb="FF92D050"/>
        </patternFill>
      </fill>
    </dxf>
    <dxf>
      <fill>
        <patternFill patternType="lightGray">
          <bgColor rgb="FFFFC000"/>
        </patternFill>
      </fill>
    </dxf>
    <dxf>
      <fill>
        <patternFill>
          <bgColor rgb="FF92D050"/>
        </patternFill>
      </fill>
    </dxf>
    <dxf>
      <fill>
        <patternFill>
          <bgColor rgb="FF92D050"/>
        </patternFill>
      </fill>
    </dxf>
    <dxf>
      <fill>
        <patternFill patternType="lightGray">
          <bgColor rgb="FFFFC000"/>
        </patternFill>
      </fill>
    </dxf>
    <dxf>
      <fill>
        <patternFill>
          <bgColor rgb="FF92D050"/>
        </patternFill>
      </fill>
    </dxf>
    <dxf>
      <fill>
        <patternFill>
          <bgColor rgb="FF92D050"/>
        </patternFill>
      </fill>
    </dxf>
    <dxf>
      <fill>
        <patternFill patternType="lightGray">
          <fgColor auto="1"/>
          <bgColor rgb="FFFFC000"/>
        </patternFill>
      </fill>
    </dxf>
    <dxf>
      <fill>
        <patternFill patternType="gray0625">
          <bgColor rgb="FFFFC000"/>
        </patternFill>
      </fill>
    </dxf>
    <dxf>
      <fill>
        <patternFill patternType="gray0625">
          <bgColor rgb="FFFFC000"/>
        </patternFill>
      </fill>
    </dxf>
    <dxf>
      <fill>
        <patternFill patternType="gray0625">
          <bgColor rgb="FFFFC000"/>
        </patternFill>
      </fill>
    </dxf>
    <dxf>
      <fill>
        <patternFill patternType="gray0625">
          <bgColor rgb="FFFFC000"/>
        </patternFill>
      </fill>
    </dxf>
    <dxf>
      <fill>
        <patternFill patternType="gray0625">
          <bgColor rgb="FFFFC000"/>
        </patternFill>
      </fill>
    </dxf>
    <dxf>
      <fill>
        <patternFill patternType="gray0625">
          <bgColor rgb="FFFFC000"/>
        </patternFill>
      </fill>
    </dxf>
    <dxf>
      <fill>
        <patternFill patternType="gray0625">
          <bgColor rgb="FFFFC000"/>
        </patternFill>
      </fill>
    </dxf>
    <dxf>
      <fill>
        <patternFill patternType="gray0625">
          <bgColor rgb="FFFFC000"/>
        </patternFill>
      </fill>
    </dxf>
    <dxf>
      <fill>
        <patternFill patternType="gray0625">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C000"/>
        </patternFill>
      </fill>
    </dxf>
    <dxf>
      <fill>
        <patternFill>
          <bgColor theme="4" tint="0.79998168889431442"/>
        </patternFill>
      </fill>
    </dxf>
    <dxf>
      <fill>
        <patternFill>
          <bgColor rgb="FFFF0000"/>
        </patternFill>
      </fill>
    </dxf>
    <dxf>
      <fill>
        <patternFill>
          <bgColor theme="4" tint="0.79998168889431442"/>
        </patternFill>
      </fill>
    </dxf>
    <dxf>
      <fill>
        <patternFill>
          <bgColor rgb="FFFF0000"/>
        </patternFill>
      </fill>
    </dxf>
    <dxf>
      <fill>
        <patternFill>
          <bgColor rgb="FFFFC000"/>
        </patternFill>
      </fill>
    </dxf>
    <dxf>
      <fill>
        <patternFill>
          <bgColor theme="4" tint="0.79998168889431442"/>
        </patternFill>
      </fill>
    </dxf>
    <dxf>
      <fill>
        <patternFill>
          <bgColor rgb="FFFF0000"/>
        </patternFill>
      </fill>
    </dxf>
    <dxf>
      <fill>
        <patternFill>
          <bgColor theme="4" tint="0.79998168889431442"/>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4" tint="0.79998168889431442"/>
        </patternFill>
      </fill>
    </dxf>
    <dxf>
      <fill>
        <patternFill>
          <bgColor rgb="FFFF0000"/>
        </patternFill>
      </fill>
    </dxf>
    <dxf>
      <fill>
        <patternFill>
          <bgColor theme="4" tint="0.79998168889431442"/>
        </patternFill>
      </fill>
    </dxf>
    <dxf>
      <fill>
        <patternFill>
          <bgColor rgb="FFFF0000"/>
        </patternFill>
      </fill>
    </dxf>
    <dxf>
      <fill>
        <patternFill>
          <bgColor rgb="FFFFC000"/>
        </patternFill>
      </fill>
    </dxf>
    <dxf>
      <fill>
        <patternFill>
          <bgColor theme="4" tint="0.79998168889431442"/>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9" tint="0.59996337778862885"/>
        </patternFill>
      </fill>
    </dxf>
    <dxf>
      <fill>
        <patternFill>
          <bgColor rgb="FFFFC000"/>
        </patternFill>
      </fill>
    </dxf>
    <dxf>
      <fill>
        <patternFill>
          <bgColor theme="9" tint="0.59996337778862885"/>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FF99"/>
      <color rgb="FF00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27</xdr:col>
      <xdr:colOff>21770</xdr:colOff>
      <xdr:row>135</xdr:row>
      <xdr:rowOff>163285</xdr:rowOff>
    </xdr:from>
    <xdr:to>
      <xdr:col>40</xdr:col>
      <xdr:colOff>141513</xdr:colOff>
      <xdr:row>151</xdr:row>
      <xdr:rowOff>108857</xdr:rowOff>
    </xdr:to>
    <xdr:sp macro="" textlink="">
      <xdr:nvSpPr>
        <xdr:cNvPr id="2" name="Rechthoek 1">
          <a:extLst>
            <a:ext uri="{FF2B5EF4-FFF2-40B4-BE49-F238E27FC236}">
              <a16:creationId xmlns:a16="http://schemas.microsoft.com/office/drawing/2014/main" id="{00000000-0008-0000-0000-000002000000}"/>
            </a:ext>
          </a:extLst>
        </xdr:cNvPr>
        <xdr:cNvSpPr/>
      </xdr:nvSpPr>
      <xdr:spPr>
        <a:xfrm>
          <a:off x="12137570" y="25984199"/>
          <a:ext cx="16731343" cy="4158344"/>
        </a:xfrm>
        <a:prstGeom prst="rect">
          <a:avLst/>
        </a:prstGeom>
        <a:noFill/>
        <a:ln w="25400">
          <a:solidFill>
            <a:schemeClr val="accent2">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11</xdr:col>
      <xdr:colOff>32657</xdr:colOff>
      <xdr:row>85</xdr:row>
      <xdr:rowOff>21773</xdr:rowOff>
    </xdr:from>
    <xdr:to>
      <xdr:col>23</xdr:col>
      <xdr:colOff>1230086</xdr:colOff>
      <xdr:row>113</xdr:row>
      <xdr:rowOff>108858</xdr:rowOff>
    </xdr:to>
    <xdr:sp macro="" textlink="">
      <xdr:nvSpPr>
        <xdr:cNvPr id="3" name="Rechthoek 2">
          <a:extLst>
            <a:ext uri="{FF2B5EF4-FFF2-40B4-BE49-F238E27FC236}">
              <a16:creationId xmlns:a16="http://schemas.microsoft.com/office/drawing/2014/main" id="{CDD06F7A-9693-4D8A-9503-33C10BD33A03}"/>
            </a:ext>
          </a:extLst>
        </xdr:cNvPr>
        <xdr:cNvSpPr/>
      </xdr:nvSpPr>
      <xdr:spPr>
        <a:xfrm>
          <a:off x="12148457" y="16317687"/>
          <a:ext cx="16546286" cy="5551714"/>
        </a:xfrm>
        <a:prstGeom prst="rect">
          <a:avLst/>
        </a:prstGeom>
        <a:noFill/>
        <a:ln w="25400">
          <a:solidFill>
            <a:schemeClr val="accent2">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11</xdr:col>
      <xdr:colOff>65313</xdr:colOff>
      <xdr:row>131</xdr:row>
      <xdr:rowOff>152400</xdr:rowOff>
    </xdr:from>
    <xdr:to>
      <xdr:col>21</xdr:col>
      <xdr:colOff>54429</xdr:colOff>
      <xdr:row>151</xdr:row>
      <xdr:rowOff>68585</xdr:rowOff>
    </xdr:to>
    <xdr:sp macro="" textlink="">
      <xdr:nvSpPr>
        <xdr:cNvPr id="4" name="Rechthoek 3">
          <a:extLst>
            <a:ext uri="{FF2B5EF4-FFF2-40B4-BE49-F238E27FC236}">
              <a16:creationId xmlns:a16="http://schemas.microsoft.com/office/drawing/2014/main" id="{3F6E5939-BA85-429A-B63E-60E359292F70}"/>
            </a:ext>
          </a:extLst>
        </xdr:cNvPr>
        <xdr:cNvSpPr/>
      </xdr:nvSpPr>
      <xdr:spPr>
        <a:xfrm>
          <a:off x="12181113" y="25418143"/>
          <a:ext cx="12812487" cy="3813271"/>
        </a:xfrm>
        <a:prstGeom prst="rect">
          <a:avLst/>
        </a:prstGeom>
        <a:noFill/>
        <a:ln w="25400">
          <a:solidFill>
            <a:schemeClr val="accent2">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11</xdr:col>
      <xdr:colOff>54429</xdr:colOff>
      <xdr:row>114</xdr:row>
      <xdr:rowOff>1</xdr:rowOff>
    </xdr:from>
    <xdr:to>
      <xdr:col>20</xdr:col>
      <xdr:colOff>1251858</xdr:colOff>
      <xdr:row>131</xdr:row>
      <xdr:rowOff>97972</xdr:rowOff>
    </xdr:to>
    <xdr:sp macro="" textlink="">
      <xdr:nvSpPr>
        <xdr:cNvPr id="5" name="Rechthoek 4">
          <a:extLst>
            <a:ext uri="{FF2B5EF4-FFF2-40B4-BE49-F238E27FC236}">
              <a16:creationId xmlns:a16="http://schemas.microsoft.com/office/drawing/2014/main" id="{44B92F3A-0420-43B2-8CD8-3AF6F6E5BD45}"/>
            </a:ext>
          </a:extLst>
        </xdr:cNvPr>
        <xdr:cNvSpPr/>
      </xdr:nvSpPr>
      <xdr:spPr>
        <a:xfrm>
          <a:off x="12170229" y="21989144"/>
          <a:ext cx="12758058" cy="3407228"/>
        </a:xfrm>
        <a:prstGeom prst="rect">
          <a:avLst/>
        </a:prstGeom>
        <a:noFill/>
        <a:ln w="25400">
          <a:solidFill>
            <a:schemeClr val="accent2">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1828800</xdr:colOff>
      <xdr:row>189</xdr:row>
      <xdr:rowOff>468086</xdr:rowOff>
    </xdr:from>
    <xdr:to>
      <xdr:col>2</xdr:col>
      <xdr:colOff>2177143</xdr:colOff>
      <xdr:row>196</xdr:row>
      <xdr:rowOff>152400</xdr:rowOff>
    </xdr:to>
    <xdr:cxnSp macro="">
      <xdr:nvCxnSpPr>
        <xdr:cNvPr id="3" name="Rechte verbindingslijn met pijl 2">
          <a:extLst>
            <a:ext uri="{FF2B5EF4-FFF2-40B4-BE49-F238E27FC236}">
              <a16:creationId xmlns:a16="http://schemas.microsoft.com/office/drawing/2014/main" id="{C7598730-C558-40E7-8CE9-AA3ED00A943B}"/>
            </a:ext>
          </a:extLst>
        </xdr:cNvPr>
        <xdr:cNvCxnSpPr/>
      </xdr:nvCxnSpPr>
      <xdr:spPr>
        <a:xfrm>
          <a:off x="2906486" y="46296943"/>
          <a:ext cx="348343" cy="1360714"/>
        </a:xfrm>
        <a:prstGeom prst="straightConnector1">
          <a:avLst/>
        </a:prstGeom>
        <a:ln w="25400">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32657</xdr:colOff>
      <xdr:row>5</xdr:row>
      <xdr:rowOff>130628</xdr:rowOff>
    </xdr:from>
    <xdr:to>
      <xdr:col>9</xdr:col>
      <xdr:colOff>413657</xdr:colOff>
      <xdr:row>11</xdr:row>
      <xdr:rowOff>54429</xdr:rowOff>
    </xdr:to>
    <xdr:cxnSp macro="">
      <xdr:nvCxnSpPr>
        <xdr:cNvPr id="4" name="Rechte verbindingslijn met pijl 3">
          <a:extLst>
            <a:ext uri="{FF2B5EF4-FFF2-40B4-BE49-F238E27FC236}">
              <a16:creationId xmlns:a16="http://schemas.microsoft.com/office/drawing/2014/main" id="{9DA8E12E-AC12-47C8-9138-34B4F31C95B9}"/>
            </a:ext>
          </a:extLst>
        </xdr:cNvPr>
        <xdr:cNvCxnSpPr/>
      </xdr:nvCxnSpPr>
      <xdr:spPr>
        <a:xfrm flipH="1">
          <a:off x="7957457" y="1240971"/>
          <a:ext cx="1458686" cy="1088572"/>
        </a:xfrm>
        <a:prstGeom prst="straightConnector1">
          <a:avLst/>
        </a:prstGeom>
        <a:ln w="57150">
          <a:solidFill>
            <a:srgbClr val="FF0000"/>
          </a:solidFill>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9</xdr:col>
      <xdr:colOff>838201</xdr:colOff>
      <xdr:row>9</xdr:row>
      <xdr:rowOff>108857</xdr:rowOff>
    </xdr:from>
    <xdr:to>
      <xdr:col>9</xdr:col>
      <xdr:colOff>903514</xdr:colOff>
      <xdr:row>12</xdr:row>
      <xdr:rowOff>108858</xdr:rowOff>
    </xdr:to>
    <xdr:cxnSp macro="">
      <xdr:nvCxnSpPr>
        <xdr:cNvPr id="12" name="Rechte verbindingslijn met pijl 11">
          <a:extLst>
            <a:ext uri="{FF2B5EF4-FFF2-40B4-BE49-F238E27FC236}">
              <a16:creationId xmlns:a16="http://schemas.microsoft.com/office/drawing/2014/main" id="{25401D90-800E-4012-BB02-C89D45AFFAC0}"/>
            </a:ext>
          </a:extLst>
        </xdr:cNvPr>
        <xdr:cNvCxnSpPr/>
      </xdr:nvCxnSpPr>
      <xdr:spPr>
        <a:xfrm>
          <a:off x="9840687" y="2013857"/>
          <a:ext cx="65313" cy="555172"/>
        </a:xfrm>
        <a:prstGeom prst="straightConnector1">
          <a:avLst/>
        </a:prstGeom>
        <a:ln w="57150">
          <a:solidFill>
            <a:srgbClr val="FF0000"/>
          </a:solidFill>
          <a:tailEnd type="triangle"/>
        </a:ln>
      </xdr:spPr>
      <xdr:style>
        <a:lnRef idx="3">
          <a:schemeClr val="accent2"/>
        </a:lnRef>
        <a:fillRef idx="0">
          <a:schemeClr val="accent2"/>
        </a:fillRef>
        <a:effectRef idx="2">
          <a:schemeClr val="accent2"/>
        </a:effectRef>
        <a:fontRef idx="minor">
          <a:schemeClr val="tx1"/>
        </a:fontRef>
      </xdr:style>
    </xdr:cxn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belastingdienst.nl/wps/wcm/connect/bldcontentnl/belastingdienst/prive/inkomstenbelasting/heffingskortingen_boxen_tarieven/boxen_en_tarieven/overzicht_tarieven_en_schijven/" TargetMode="External"/><Relationship Id="rId13" Type="http://schemas.openxmlformats.org/officeDocument/2006/relationships/hyperlink" Target="https://www.belastingdienst.nl/wps/wcm/connect/bldcontentnl/belastingdienst/prive/inkomstenbelasting/heffingskortingen_boxen_tarieven/heffingskortingen/totaaloverzicht/overzicht-heffingskortingen-2019" TargetMode="External"/><Relationship Id="rId18" Type="http://schemas.openxmlformats.org/officeDocument/2006/relationships/hyperlink" Target="https://www.svb.nl/int/nl/aow/wat_is_de_aow/wanneer_aow/" TargetMode="External"/><Relationship Id="rId3" Type="http://schemas.openxmlformats.org/officeDocument/2006/relationships/hyperlink" Target="https://www.belastingdienst.nl/wps/wcm/connect/bldcontentnl/belastingdienst/prive/inkomstenbelasting/heffingskortingen_boxen_tarieven/heffingskortingen/inkomensafhankelijke_combikorting/inkomensafhankelijke-combinatiekorting-2019" TargetMode="External"/><Relationship Id="rId21" Type="http://schemas.openxmlformats.org/officeDocument/2006/relationships/hyperlink" Target="https://www.belastingdienst.nl/wps/wcm/connect/nl/koopwoning/content/hoe-werkt-eigenwoningforfait" TargetMode="External"/><Relationship Id="rId7" Type="http://schemas.openxmlformats.org/officeDocument/2006/relationships/hyperlink" Target="https://www.belastingdienst.nl/wps/wcm/connect/bldcontentnl/belastingdienst/prive/inkomstenbelasting/heffingskortingen_boxen_tarieven/boxen_en_tarieven/overzicht_tarieven_en_schijven/" TargetMode="External"/><Relationship Id="rId12" Type="http://schemas.openxmlformats.org/officeDocument/2006/relationships/hyperlink" Target="https://www.belastingdienst.nl/wps/wcm/connect/bldcontentnl/belastingdienst/prive/vermogen_en_aanmerkelijk_belang/vermogen/wat_zijn_uw_bezittingen_en_schulden/uw_schulden/drempel" TargetMode="External"/><Relationship Id="rId17" Type="http://schemas.openxmlformats.org/officeDocument/2006/relationships/hyperlink" Target="https://www.belastingdienst.nl/rekenhulpen/toeslagen/" TargetMode="External"/><Relationship Id="rId25" Type="http://schemas.openxmlformats.org/officeDocument/2006/relationships/comments" Target="../comments1.xml"/><Relationship Id="rId2" Type="http://schemas.openxmlformats.org/officeDocument/2006/relationships/hyperlink" Target="https://www.socialedienstdrechtsteden.nl/bijstand/ik-heb-een-uitkering/hoe-hoog-is-een-bijstandsuitkering" TargetMode="External"/><Relationship Id="rId16" Type="http://schemas.openxmlformats.org/officeDocument/2006/relationships/hyperlink" Target="https://www.belastingdienst.nl/rekenhulpen/toeslagen/" TargetMode="External"/><Relationship Id="rId20" Type="http://schemas.openxmlformats.org/officeDocument/2006/relationships/hyperlink" Target="https://www.zorgwijzer.nl/faq/wat-is-de-inkomensafhankelijke-bijdrage" TargetMode="External"/><Relationship Id="rId1" Type="http://schemas.openxmlformats.org/officeDocument/2006/relationships/hyperlink" Target="https://www.belastingdienst.nl/wps/wcm/connect/bldcontentnl/belastingdienst/prive/inkomstenbelasting/heffingskortingen_boxen_tarieven/boxen_en_tarieven/overzicht_tarieven_en_schijven/" TargetMode="External"/><Relationship Id="rId6" Type="http://schemas.openxmlformats.org/officeDocument/2006/relationships/hyperlink" Target="https://www.rijksoverheid.nl/onderwerpen/zorgverzekering/vraag-en-antwoord/eigen-risico-zorgverzekering" TargetMode="External"/><Relationship Id="rId11" Type="http://schemas.openxmlformats.org/officeDocument/2006/relationships/hyperlink" Target="https://www.belastingdienst.nl/wps/wcm/connect/bldcontentnl/belastingdienst/prive/inkomstenbelasting/heffingskortingen_boxen_tarieven/heffingskortingen/totaaloverzicht/overzicht-heffingskortingen-2019" TargetMode="External"/><Relationship Id="rId24" Type="http://schemas.openxmlformats.org/officeDocument/2006/relationships/vmlDrawing" Target="../drawings/vmlDrawing1.vml"/><Relationship Id="rId5" Type="http://schemas.openxmlformats.org/officeDocument/2006/relationships/hyperlink" Target="https://www.belastingdienst.nl/wps/wcm/connect/bldcontentnl/belastingdienst/prive/inkomstenbelasting/heffingskortingen_boxen_tarieven/heffingskortingen/heffingskortingen_voor_aow_gerechtigden" TargetMode="External"/><Relationship Id="rId15" Type="http://schemas.openxmlformats.org/officeDocument/2006/relationships/hyperlink" Target="https://www.belastingdienst.nl/rekenhulpen/toeslagen/" TargetMode="External"/><Relationship Id="rId23" Type="http://schemas.openxmlformats.org/officeDocument/2006/relationships/drawing" Target="../drawings/drawing1.xml"/><Relationship Id="rId10" Type="http://schemas.openxmlformats.org/officeDocument/2006/relationships/hyperlink" Target="https://www.belastingdienst.nl/wps/wcm/connect/bldcontentnl/belastingdienst/prive/inkomstenbelasting/heffingskortingen_boxen_tarieven/heffingskortingen/inkomensafhankelijke_combikorting/inkomensafhankelijke-combinatiekorting-2019" TargetMode="External"/><Relationship Id="rId19" Type="http://schemas.openxmlformats.org/officeDocument/2006/relationships/hyperlink" Target="https://www.belastingdienst.nl/wps/wcm/connect/bldcontentnl/belastingdienst/prive/vermogen_en_aanmerkelijk_belang/vermogen/belasting_betalen_over_uw_vermogen/grondslag_sparen_en_beleggen/berekening-2019/" TargetMode="External"/><Relationship Id="rId4" Type="http://schemas.openxmlformats.org/officeDocument/2006/relationships/hyperlink" Target="https://www.belastingdienst.nl/wps/wcm/connect/bldcontentnl/belastingdienst/prive/inkomstenbelasting/heffingskortingen_boxen_tarieven/heffingskortingen/heffingskortingen_voor_aow_gerechtigden" TargetMode="External"/><Relationship Id="rId9" Type="http://schemas.openxmlformats.org/officeDocument/2006/relationships/hyperlink" Target="https://www.belastingdienst.nl/wps/wcm/connect/bldcontentnl/belastingdienst/prive/inkomstenbelasting/heffingskortingen_boxen_tarieven/boxen_en_tarieven/overzicht_tarieven_en_schijven/" TargetMode="External"/><Relationship Id="rId14" Type="http://schemas.openxmlformats.org/officeDocument/2006/relationships/hyperlink" Target="https://www.belastingdienst.nl/wps/wcm/connect/bldcontentnl/belastingdienst/prive/inkomstenbelasting/heffingskortingen_boxen_tarieven/heffingskortingen/arbeidskorting/tabel-arbeidskorting-2019" TargetMode="External"/><Relationship Id="rId22"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pageSetUpPr fitToPage="1"/>
  </sheetPr>
  <dimension ref="A1:M55"/>
  <sheetViews>
    <sheetView tabSelected="1" zoomScale="70" zoomScaleNormal="70" workbookViewId="0">
      <pane ySplit="5" topLeftCell="A25" activePane="bottomLeft" state="frozen"/>
      <selection pane="bottomLeft" activeCell="A2" sqref="A2"/>
    </sheetView>
  </sheetViews>
  <sheetFormatPr defaultRowHeight="14.4" x14ac:dyDescent="0.3"/>
  <cols>
    <col min="1" max="1" width="5.6640625" style="564" customWidth="1"/>
    <col min="2" max="2" width="28.33203125" customWidth="1"/>
    <col min="3" max="3" width="15.6640625" style="564" customWidth="1"/>
    <col min="4" max="4" width="21.33203125" customWidth="1"/>
    <col min="5" max="8" width="15.6640625" style="564" customWidth="1"/>
  </cols>
  <sheetData>
    <row r="1" spans="1:8" ht="21.6" thickBot="1" x14ac:dyDescent="0.45">
      <c r="A1" s="1889" t="s">
        <v>555</v>
      </c>
      <c r="B1" s="1884"/>
      <c r="C1" s="1884"/>
      <c r="D1" s="1884"/>
      <c r="E1" s="1884"/>
      <c r="F1" s="1884"/>
      <c r="G1" s="1884"/>
      <c r="H1" s="1885"/>
    </row>
    <row r="2" spans="1:8" ht="15" thickBot="1" x14ac:dyDescent="0.35"/>
    <row r="3" spans="1:8" ht="18.600000000000001" thickBot="1" x14ac:dyDescent="0.4">
      <c r="A3" s="1886" t="s">
        <v>558</v>
      </c>
      <c r="B3" s="1887"/>
      <c r="C3" s="1887"/>
      <c r="D3" s="1887"/>
      <c r="E3" s="1887"/>
      <c r="F3" s="1887"/>
      <c r="G3" s="1887"/>
      <c r="H3" s="1888"/>
    </row>
    <row r="4" spans="1:8" ht="16.2" thickBot="1" x14ac:dyDescent="0.35">
      <c r="B4" s="1890" t="s">
        <v>575</v>
      </c>
      <c r="C4" s="1891"/>
      <c r="D4" s="1311">
        <f>Basisgegevens!C15</f>
        <v>43466</v>
      </c>
      <c r="F4" s="1310" t="s">
        <v>756</v>
      </c>
      <c r="G4" s="1892" t="str">
        <f>Basisgegevens!C21</f>
        <v>2019 - 2e halfjaar</v>
      </c>
      <c r="H4" s="1893"/>
    </row>
    <row r="5" spans="1:8" ht="15" thickBot="1" x14ac:dyDescent="0.35"/>
    <row r="6" spans="1:8" ht="18.600000000000001" thickBot="1" x14ac:dyDescent="0.4">
      <c r="A6" s="1882" t="s">
        <v>559</v>
      </c>
      <c r="B6" s="1884"/>
      <c r="C6" s="1884"/>
      <c r="D6" s="1884"/>
      <c r="E6" s="1884"/>
      <c r="F6" s="1884"/>
      <c r="G6" s="1884"/>
      <c r="H6" s="1885"/>
    </row>
    <row r="7" spans="1:8" ht="15" thickBot="1" x14ac:dyDescent="0.35"/>
    <row r="8" spans="1:8" ht="15" thickBot="1" x14ac:dyDescent="0.35">
      <c r="A8" s="568" t="s">
        <v>565</v>
      </c>
      <c r="B8" s="569" t="s">
        <v>560</v>
      </c>
      <c r="C8" s="572" t="s">
        <v>458</v>
      </c>
    </row>
    <row r="9" spans="1:8" x14ac:dyDescent="0.3">
      <c r="A9" s="567" t="s">
        <v>564</v>
      </c>
      <c r="B9" s="573" t="str">
        <f>Basisgegevens!C4</f>
        <v>AP</v>
      </c>
      <c r="C9" s="574">
        <f>Basisgegevens!C5</f>
        <v>0</v>
      </c>
    </row>
    <row r="10" spans="1:8" ht="15" thickBot="1" x14ac:dyDescent="0.35">
      <c r="A10" s="566" t="s">
        <v>563</v>
      </c>
      <c r="B10" s="575" t="str">
        <f>Basisgegevens!D4</f>
        <v>AG</v>
      </c>
      <c r="C10" s="576">
        <f>Basisgegevens!D5</f>
        <v>0</v>
      </c>
    </row>
    <row r="11" spans="1:8" ht="15" thickBot="1" x14ac:dyDescent="0.35"/>
    <row r="12" spans="1:8" ht="15" thickBot="1" x14ac:dyDescent="0.35">
      <c r="A12" s="319" t="s">
        <v>415</v>
      </c>
      <c r="B12" s="1342" t="s">
        <v>561</v>
      </c>
      <c r="C12" s="570" t="s">
        <v>458</v>
      </c>
      <c r="D12" s="571" t="s">
        <v>562</v>
      </c>
    </row>
    <row r="13" spans="1:8" x14ac:dyDescent="0.3">
      <c r="A13" s="34">
        <v>1</v>
      </c>
      <c r="B13" s="1343" t="str">
        <f>IF(TRIM(Basisgegevens!B201)="","--",Basisgegevens!B201)</f>
        <v>--</v>
      </c>
      <c r="C13" s="577" t="str">
        <f>IF(B13="--","--",Basisgegevens!E201)</f>
        <v>--</v>
      </c>
      <c r="D13" s="578" t="str">
        <f>IF(B13="--","--",IF(Basisgegevens!C201=1,$B$9,IF(Basisgegevens!D201=1,$B$10,"--")))</f>
        <v>--</v>
      </c>
    </row>
    <row r="14" spans="1:8" x14ac:dyDescent="0.3">
      <c r="A14" s="1312">
        <v>2</v>
      </c>
      <c r="B14" s="1344" t="str">
        <f>IF(TRIM(Basisgegevens!B202)="","--",Basisgegevens!B202)</f>
        <v>--</v>
      </c>
      <c r="C14" s="579" t="str">
        <f>IF(B14="--","--",Basisgegevens!E202)</f>
        <v>--</v>
      </c>
      <c r="D14" s="580" t="str">
        <f>IF(B14="--","--",IF(Basisgegevens!C202=1,$B$9,IF(Basisgegevens!D202=1,$B$10,"--")))</f>
        <v>--</v>
      </c>
    </row>
    <row r="15" spans="1:8" x14ac:dyDescent="0.3">
      <c r="A15" s="1312">
        <v>3</v>
      </c>
      <c r="B15" s="1344" t="str">
        <f>IF(TRIM(Basisgegevens!B203)="","--",Basisgegevens!B203)</f>
        <v>--</v>
      </c>
      <c r="C15" s="579" t="str">
        <f>IF(B15="--","--",Basisgegevens!E203)</f>
        <v>--</v>
      </c>
      <c r="D15" s="580" t="str">
        <f>IF(B15="--","--",IF(Basisgegevens!C203=1,$B$9,IF(Basisgegevens!D203=1,$B$10,"--")))</f>
        <v>--</v>
      </c>
    </row>
    <row r="16" spans="1:8" x14ac:dyDescent="0.3">
      <c r="A16" s="1312">
        <v>4</v>
      </c>
      <c r="B16" s="1344" t="str">
        <f>IF(TRIM(Basisgegevens!B204)="","--",Basisgegevens!B204)</f>
        <v>--</v>
      </c>
      <c r="C16" s="579" t="str">
        <f>IF(B16="--","--",Basisgegevens!E204)</f>
        <v>--</v>
      </c>
      <c r="D16" s="580" t="str">
        <f>IF(B16="--","--",IF(Basisgegevens!C204=1,$B$9,IF(Basisgegevens!D204=1,$B$10,"--")))</f>
        <v>--</v>
      </c>
    </row>
    <row r="17" spans="1:8" x14ac:dyDescent="0.3">
      <c r="A17" s="1312">
        <v>5</v>
      </c>
      <c r="B17" s="1344" t="str">
        <f>IF(TRIM(Basisgegevens!B205)="","--",Basisgegevens!B205)</f>
        <v>--</v>
      </c>
      <c r="C17" s="579" t="str">
        <f>IF(B17="--","--",Basisgegevens!E205)</f>
        <v>--</v>
      </c>
      <c r="D17" s="580" t="str">
        <f>IF(B17="--","--",IF(Basisgegevens!C205=1,$B$9,IF(Basisgegevens!D205=1,$B$10,"--")))</f>
        <v>--</v>
      </c>
    </row>
    <row r="18" spans="1:8" x14ac:dyDescent="0.3">
      <c r="A18" s="1312">
        <v>6</v>
      </c>
      <c r="B18" s="1344" t="str">
        <f>IF(TRIM(Basisgegevens!B206)="","--",Basisgegevens!B206)</f>
        <v>--</v>
      </c>
      <c r="C18" s="579" t="str">
        <f>IF(B18="--","--",Basisgegevens!E206)</f>
        <v>--</v>
      </c>
      <c r="D18" s="580" t="str">
        <f>IF(B18="--","--",IF(Basisgegevens!C206=1,$B$9,IF(Basisgegevens!D206=1,$B$10,"--")))</f>
        <v>--</v>
      </c>
    </row>
    <row r="19" spans="1:8" x14ac:dyDescent="0.3">
      <c r="A19" s="1312">
        <v>7</v>
      </c>
      <c r="B19" s="1344" t="str">
        <f>IF(TRIM(Basisgegevens!B207)="","--",Basisgegevens!B207)</f>
        <v>--</v>
      </c>
      <c r="C19" s="579" t="str">
        <f>IF(B19="--","--",Basisgegevens!E207)</f>
        <v>--</v>
      </c>
      <c r="D19" s="580" t="str">
        <f>IF(B19="--","--",IF(Basisgegevens!C207=1,$B$9,IF(Basisgegevens!D207=1,$B$10,"--")))</f>
        <v>--</v>
      </c>
    </row>
    <row r="20" spans="1:8" x14ac:dyDescent="0.3">
      <c r="A20" s="1312">
        <v>8</v>
      </c>
      <c r="B20" s="1344" t="str">
        <f>IF(TRIM(Basisgegevens!B208)="","--",Basisgegevens!B208)</f>
        <v>--</v>
      </c>
      <c r="C20" s="579" t="str">
        <f>IF(B20="--","--",Basisgegevens!E208)</f>
        <v>--</v>
      </c>
      <c r="D20" s="580" t="str">
        <f>IF(B20="--","--",IF(Basisgegevens!C208=1,$B$9,IF(Basisgegevens!D208=1,$B$10,"--")))</f>
        <v>--</v>
      </c>
    </row>
    <row r="21" spans="1:8" x14ac:dyDescent="0.3">
      <c r="A21" s="1312">
        <v>9</v>
      </c>
      <c r="B21" s="1344" t="str">
        <f>IF(TRIM(Basisgegevens!B209)="","--",Basisgegevens!B209)</f>
        <v>--</v>
      </c>
      <c r="C21" s="579" t="str">
        <f>IF(B21="--","--",Basisgegevens!E209)</f>
        <v>--</v>
      </c>
      <c r="D21" s="580" t="str">
        <f>IF(B21="--","--",IF(Basisgegevens!C209=1,$B$9,IF(Basisgegevens!D209=1,$B$10,"--")))</f>
        <v>--</v>
      </c>
    </row>
    <row r="22" spans="1:8" x14ac:dyDescent="0.3">
      <c r="A22" s="1312">
        <v>10</v>
      </c>
      <c r="B22" s="1344" t="str">
        <f>IF(TRIM(Basisgegevens!B210)="","--",Basisgegevens!B210)</f>
        <v>--</v>
      </c>
      <c r="C22" s="579" t="str">
        <f>IF(B22="--","--",Basisgegevens!E210)</f>
        <v>--</v>
      </c>
      <c r="D22" s="580" t="str">
        <f>IF(B22="--","--",IF(Basisgegevens!C210=1,$B$9,IF(Basisgegevens!D210=1,$B$10,"--")))</f>
        <v>--</v>
      </c>
    </row>
    <row r="23" spans="1:8" x14ac:dyDescent="0.3">
      <c r="A23" s="1312">
        <v>11</v>
      </c>
      <c r="B23" s="1344" t="str">
        <f>IF(TRIM(Basisgegevens!B211)="","--",Basisgegevens!B211)</f>
        <v>--</v>
      </c>
      <c r="C23" s="579" t="str">
        <f>IF(B23="--","--",Basisgegevens!E211)</f>
        <v>--</v>
      </c>
      <c r="D23" s="580" t="str">
        <f>IF(B23="--","--",IF(Basisgegevens!C211=1,$B$9,IF(Basisgegevens!D211=1,$B$10,"--")))</f>
        <v>--</v>
      </c>
    </row>
    <row r="24" spans="1:8" ht="15" thickBot="1" x14ac:dyDescent="0.35">
      <c r="A24" s="33">
        <v>12</v>
      </c>
      <c r="B24" s="1345" t="str">
        <f>IF(TRIM(Basisgegevens!B212)="","--",Basisgegevens!B212)</f>
        <v>--</v>
      </c>
      <c r="C24" s="581" t="str">
        <f>IF(B24="--","--",Basisgegevens!E212)</f>
        <v>--</v>
      </c>
      <c r="D24" s="582" t="str">
        <f>IF(B24="--","--",IF(Basisgegevens!C212=1,$B$9,IF(Basisgegevens!D212=1,$B$10,"--")))</f>
        <v>--</v>
      </c>
    </row>
    <row r="25" spans="1:8" ht="15" thickBot="1" x14ac:dyDescent="0.35"/>
    <row r="26" spans="1:8" ht="18.600000000000001" thickBot="1" x14ac:dyDescent="0.4">
      <c r="A26" s="1882" t="s">
        <v>566</v>
      </c>
      <c r="B26" s="1869"/>
      <c r="C26" s="1869"/>
      <c r="D26" s="1869"/>
      <c r="E26" s="1869"/>
      <c r="F26" s="1869"/>
      <c r="G26" s="1869"/>
      <c r="H26" s="1883"/>
    </row>
    <row r="27" spans="1:8" ht="15" thickBot="1" x14ac:dyDescent="0.35">
      <c r="B27" s="564"/>
    </row>
    <row r="28" spans="1:8" ht="15" thickBot="1" x14ac:dyDescent="0.35">
      <c r="A28" s="651" t="s">
        <v>415</v>
      </c>
      <c r="B28" s="1868" t="s">
        <v>160</v>
      </c>
      <c r="C28" s="1869"/>
      <c r="D28" s="1870"/>
      <c r="E28" s="583" t="str">
        <f>'Alimentatie 2019-2 (Juli)'!$E$3</f>
        <v>AP</v>
      </c>
      <c r="F28" s="583" t="str">
        <f>'Alimentatie 2019-2 (Juli)'!$F$3</f>
        <v>Kinderalimentie</v>
      </c>
      <c r="G28" s="583" t="str">
        <f>'Alimentatie 2019-2 (Juli)'!$G$3</f>
        <v>AG</v>
      </c>
      <c r="H28" s="584" t="str">
        <f>'Alimentatie 2019-2 (Juli)'!$H$3</f>
        <v>Kinderalimentie</v>
      </c>
    </row>
    <row r="29" spans="1:8" x14ac:dyDescent="0.3">
      <c r="A29" s="1338">
        <v>64</v>
      </c>
      <c r="B29" s="1873" t="str">
        <f>'Alimentatie 2019-2 (Juli)'!C47</f>
        <v>Belastbaar loon:</v>
      </c>
      <c r="C29" s="1874"/>
      <c r="D29" s="1875"/>
      <c r="E29" s="1339">
        <f>'Alimentatie 2019-2 (Juli)'!E47</f>
        <v>0</v>
      </c>
      <c r="F29" s="1339">
        <f>'Alimentatie 2019-2 (Juli)'!F47</f>
        <v>0</v>
      </c>
      <c r="G29" s="1339">
        <f>'Alimentatie 2019-2 (Juli)'!G47</f>
        <v>0</v>
      </c>
      <c r="H29" s="1340">
        <f>'Alimentatie 2019-2 (Juli)'!H47</f>
        <v>0</v>
      </c>
    </row>
    <row r="30" spans="1:8" x14ac:dyDescent="0.3">
      <c r="A30" s="1312">
        <v>75</v>
      </c>
      <c r="B30" s="1865" t="str">
        <f>'Alimentatie 2019-2 (Juli)'!C66</f>
        <v>Belastbare winst uit onderneming:</v>
      </c>
      <c r="C30" s="1866"/>
      <c r="D30" s="1867"/>
      <c r="E30" s="611">
        <f>'Alimentatie 2019-2 (Juli)'!E66</f>
        <v>0</v>
      </c>
      <c r="F30" s="611">
        <f>'Alimentatie 2019-2 (Juli)'!F66</f>
        <v>0</v>
      </c>
      <c r="G30" s="611">
        <f>'Alimentatie 2019-2 (Juli)'!G66</f>
        <v>0</v>
      </c>
      <c r="H30" s="614">
        <f>'Alimentatie 2019-2 (Juli)'!H66</f>
        <v>0</v>
      </c>
    </row>
    <row r="31" spans="1:8" x14ac:dyDescent="0.3">
      <c r="A31" s="1312">
        <v>78</v>
      </c>
      <c r="B31" s="1865" t="str">
        <f>'Alimentatie 2019-2 (Juli)'!C70</f>
        <v>Belastbaar resultaat uit overige werkzaamheden:</v>
      </c>
      <c r="C31" s="1866"/>
      <c r="D31" s="1867"/>
      <c r="E31" s="611">
        <f>'Alimentatie 2019-2 (Juli)'!E70</f>
        <v>0</v>
      </c>
      <c r="F31" s="611">
        <f>'Alimentatie 2019-2 (Juli)'!F70</f>
        <v>0</v>
      </c>
      <c r="G31" s="611">
        <f>'Alimentatie 2019-2 (Juli)'!G70</f>
        <v>0</v>
      </c>
      <c r="H31" s="614">
        <f>'Alimentatie 2019-2 (Juli)'!H70</f>
        <v>0</v>
      </c>
    </row>
    <row r="32" spans="1:8" x14ac:dyDescent="0.3">
      <c r="A32" s="1312">
        <v>81</v>
      </c>
      <c r="B32" s="1865" t="str">
        <f>'Alimentatie 2019-2 (Juli)'!C74</f>
        <v>Belastbare periodieke uitkeringen en verstrekkingen:</v>
      </c>
      <c r="C32" s="1866"/>
      <c r="D32" s="1867"/>
      <c r="E32" s="611">
        <f>'Alimentatie 2019-2 (Juli)'!E74</f>
        <v>0</v>
      </c>
      <c r="F32" s="611">
        <f>'Alimentatie 2019-2 (Juli)'!F74</f>
        <v>0</v>
      </c>
      <c r="G32" s="611">
        <f>'Alimentatie 2019-2 (Juli)'!G74</f>
        <v>0</v>
      </c>
      <c r="H32" s="614">
        <f>'Alimentatie 2019-2 (Juli)'!H74</f>
        <v>0</v>
      </c>
    </row>
    <row r="33" spans="1:8" x14ac:dyDescent="0.3">
      <c r="A33" s="1312">
        <v>85</v>
      </c>
      <c r="B33" s="1865" t="str">
        <f>'Alimentatie 2019-2 (Juli)'!C80</f>
        <v>Belastbaar inkomen uit eigen woning:</v>
      </c>
      <c r="C33" s="1866"/>
      <c r="D33" s="1867"/>
      <c r="E33" s="611">
        <f>'Alimentatie 2019-2 (Juli)'!E80</f>
        <v>0</v>
      </c>
      <c r="F33" s="611">
        <f>'Alimentatie 2019-2 (Juli)'!F80</f>
        <v>0</v>
      </c>
      <c r="G33" s="611">
        <f>'Alimentatie 2019-2 (Juli)'!G80</f>
        <v>0</v>
      </c>
      <c r="H33" s="614">
        <f>'Alimentatie 2019-2 (Juli)'!H80</f>
        <v>0</v>
      </c>
    </row>
    <row r="34" spans="1:8" x14ac:dyDescent="0.3">
      <c r="A34" s="1312">
        <v>89</v>
      </c>
      <c r="B34" s="1865" t="str">
        <f>'Alimentatie 2019-2 (Juli)'!C86</f>
        <v>Uitgaven voor inkomensvoorziening:</v>
      </c>
      <c r="C34" s="1866"/>
      <c r="D34" s="1867"/>
      <c r="E34" s="611">
        <f>'Alimentatie 2019-2 (Juli)'!E86</f>
        <v>0</v>
      </c>
      <c r="F34" s="611">
        <f>'Alimentatie 2019-2 (Juli)'!F86</f>
        <v>0</v>
      </c>
      <c r="G34" s="611">
        <f>'Alimentatie 2019-2 (Juli)'!G86</f>
        <v>0</v>
      </c>
      <c r="H34" s="614">
        <f>'Alimentatie 2019-2 (Juli)'!H86</f>
        <v>0</v>
      </c>
    </row>
    <row r="35" spans="1:8" x14ac:dyDescent="0.3">
      <c r="A35" s="1312">
        <v>98</v>
      </c>
      <c r="B35" s="1865" t="str">
        <f>'Alimentatie 2019-2 (Juli)'!C114</f>
        <v>Inkomen uit aanmerkelijk belang:</v>
      </c>
      <c r="C35" s="1866"/>
      <c r="D35" s="1867"/>
      <c r="E35" s="611">
        <f>'Alimentatie 2019-2 (Juli)'!E114</f>
        <v>0</v>
      </c>
      <c r="F35" s="611">
        <f>'Alimentatie 2019-2 (Juli)'!F114</f>
        <v>0</v>
      </c>
      <c r="G35" s="611">
        <f>'Alimentatie 2019-2 (Juli)'!G114</f>
        <v>0</v>
      </c>
      <c r="H35" s="614">
        <f>'Alimentatie 2019-2 (Juli)'!H114</f>
        <v>0</v>
      </c>
    </row>
    <row r="36" spans="1:8" x14ac:dyDescent="0.3">
      <c r="A36" s="1312">
        <v>102</v>
      </c>
      <c r="B36" s="1879" t="str">
        <f>'Alimentatie 2019-2 (Juli)'!C125</f>
        <v>Werkelijke vermogensinkomsten:</v>
      </c>
      <c r="C36" s="1880"/>
      <c r="D36" s="1881"/>
      <c r="E36" s="1184">
        <f>'Alimentatie 2019-2 (Juli)'!E125</f>
        <v>0</v>
      </c>
      <c r="F36" s="1184">
        <f>'Alimentatie 2019-2 (Juli)'!F125</f>
        <v>0</v>
      </c>
      <c r="G36" s="1184">
        <f>'Alimentatie 2019-2 (Juli)'!G125</f>
        <v>0</v>
      </c>
      <c r="H36" s="1341">
        <f>'Alimentatie 2019-2 (Juli)'!H125</f>
        <v>0</v>
      </c>
    </row>
    <row r="37" spans="1:8" x14ac:dyDescent="0.3">
      <c r="A37" s="1312">
        <v>119</v>
      </c>
      <c r="B37" s="1865" t="str">
        <f>'Alimentatie 2019-2 (Juli)'!C163</f>
        <v>Totaal Netto inkomsten:</v>
      </c>
      <c r="C37" s="1866"/>
      <c r="D37" s="1867"/>
      <c r="E37" s="611">
        <f>'Alimentatie 2019-2 (Juli)'!E163</f>
        <v>0</v>
      </c>
      <c r="F37" s="611">
        <f>'Alimentatie 2019-2 (Juli)'!F163</f>
        <v>0</v>
      </c>
      <c r="G37" s="611">
        <f>'Alimentatie 2019-2 (Juli)'!G163</f>
        <v>0</v>
      </c>
      <c r="H37" s="614">
        <f>'Alimentatie 2019-2 (Juli)'!H163</f>
        <v>0</v>
      </c>
    </row>
    <row r="38" spans="1:8" x14ac:dyDescent="0.3">
      <c r="A38" s="1312">
        <v>121</v>
      </c>
      <c r="B38" s="1865" t="str">
        <f>'Alimentatie 2019-2 (Juli)'!C173</f>
        <v>Netto Besteedbaar Inkomen (NBI) per maand:</v>
      </c>
      <c r="C38" s="1866"/>
      <c r="D38" s="1867"/>
      <c r="E38" s="611">
        <f>'Alimentatie 2019-2 (Juli)'!E173</f>
        <v>0</v>
      </c>
      <c r="F38" s="611">
        <f>'Alimentatie 2019-2 (Juli)'!F173</f>
        <v>0</v>
      </c>
      <c r="G38" s="611">
        <f>'Alimentatie 2019-2 (Juli)'!G173</f>
        <v>0</v>
      </c>
      <c r="H38" s="614">
        <f>'Alimentatie 2019-2 (Juli)'!H173</f>
        <v>0</v>
      </c>
    </row>
    <row r="39" spans="1:8" x14ac:dyDescent="0.3">
      <c r="A39" s="1312">
        <v>135</v>
      </c>
      <c r="B39" s="1865" t="str">
        <f>'Alimentatie 2019-2 (Juli)'!C222</f>
        <v>Draagkrachtloos inkomen:</v>
      </c>
      <c r="C39" s="1866"/>
      <c r="D39" s="1867"/>
      <c r="E39" s="611">
        <f>'Alimentatie 2019-2 (Juli)'!E222</f>
        <v>893.03</v>
      </c>
      <c r="F39" s="611">
        <f>'Alimentatie 2019-2 (Juli)'!F222</f>
        <v>1020</v>
      </c>
      <c r="G39" s="611">
        <f>'Alimentatie 2019-2 (Juli)'!G222</f>
        <v>893.03</v>
      </c>
      <c r="H39" s="614">
        <f>'Alimentatie 2019-2 (Juli)'!H222</f>
        <v>1020</v>
      </c>
    </row>
    <row r="40" spans="1:8" x14ac:dyDescent="0.3">
      <c r="A40" s="1312">
        <v>136</v>
      </c>
      <c r="B40" s="1865" t="str">
        <f>'Alimentatie 2019-2 (Juli)'!C227</f>
        <v>Draagkrachtruimte:</v>
      </c>
      <c r="C40" s="1866"/>
      <c r="D40" s="1867"/>
      <c r="E40" s="611">
        <f>'Alimentatie 2019-2 (Juli)'!E227</f>
        <v>-893.03</v>
      </c>
      <c r="F40" s="611">
        <f>'Alimentatie 2019-2 (Juli)'!F227</f>
        <v>-1020</v>
      </c>
      <c r="G40" s="611">
        <f>'Alimentatie 2019-2 (Juli)'!G227</f>
        <v>-893.03</v>
      </c>
      <c r="H40" s="614">
        <f>'Alimentatie 2019-2 (Juli)'!H227</f>
        <v>-1020</v>
      </c>
    </row>
    <row r="41" spans="1:8" x14ac:dyDescent="0.3">
      <c r="A41" s="1312">
        <v>137</v>
      </c>
      <c r="B41" s="1865" t="str">
        <f>'Alimentatie 2019-2 (Juli)'!C232</f>
        <v>Beschikbaar voor partner en kinderalimentatie</v>
      </c>
      <c r="C41" s="1866"/>
      <c r="D41" s="1867"/>
      <c r="E41" s="611">
        <f>'Alimentatie 2019-2 (Juli)'!E232</f>
        <v>-535.81799999999998</v>
      </c>
      <c r="F41" s="611">
        <f>'Alimentatie 2019-2 (Juli)'!F232</f>
        <v>0</v>
      </c>
      <c r="G41" s="611">
        <f>'Alimentatie 2019-2 (Juli)'!G232</f>
        <v>-535.81799999999998</v>
      </c>
      <c r="H41" s="614">
        <f>'Alimentatie 2019-2 (Juli)'!H232</f>
        <v>0</v>
      </c>
    </row>
    <row r="42" spans="1:8" ht="15" thickBot="1" x14ac:dyDescent="0.35">
      <c r="A42" s="33">
        <v>138</v>
      </c>
      <c r="B42" s="1876" t="str">
        <f>'Alimentatie 2019-2 (Juli)'!C234</f>
        <v xml:space="preserve">Alimentatieverplichting (eerdere) ex-partner </v>
      </c>
      <c r="C42" s="1877"/>
      <c r="D42" s="1878"/>
      <c r="E42" s="612">
        <f>'Alimentatie 2019-2 (Juli)'!E234</f>
        <v>0</v>
      </c>
      <c r="F42" s="612">
        <f>'Alimentatie 2019-2 (Juli)'!F233</f>
        <v>0</v>
      </c>
      <c r="G42" s="612">
        <f>'Alimentatie 2019-2 (Juli)'!G234</f>
        <v>0</v>
      </c>
      <c r="H42" s="615" t="str">
        <f>'Alimentatie 2019-2 (Juli)'!H234</f>
        <v>n.v.t</v>
      </c>
    </row>
    <row r="43" spans="1:8" ht="15" thickBot="1" x14ac:dyDescent="0.35"/>
    <row r="44" spans="1:8" ht="15" thickBot="1" x14ac:dyDescent="0.35">
      <c r="A44" s="568" t="s">
        <v>415</v>
      </c>
      <c r="B44" s="1868" t="s">
        <v>4</v>
      </c>
      <c r="C44" s="1869"/>
      <c r="D44" s="1870"/>
      <c r="E44" s="583" t="str">
        <f>'Alimentatie 2019-2 (Juli)'!$E$3</f>
        <v>AP</v>
      </c>
      <c r="F44" s="583" t="str">
        <f>'Alimentatie 2019-2 (Juli)'!$F$3</f>
        <v>Kinderalimentie</v>
      </c>
      <c r="G44" s="583" t="str">
        <f>'Alimentatie 2019-2 (Juli)'!$G$3</f>
        <v>AG</v>
      </c>
      <c r="H44" s="584" t="str">
        <f>'Alimentatie 2019-2 (Juli)'!$H$3</f>
        <v>Kinderalimentie</v>
      </c>
    </row>
    <row r="45" spans="1:8" x14ac:dyDescent="0.3">
      <c r="A45" s="608">
        <v>141</v>
      </c>
      <c r="B45" s="1897" t="str">
        <f>'Alimentatie 2019-2 (Juli)'!C239</f>
        <v>Kinderalimentatie</v>
      </c>
      <c r="C45" s="1898"/>
      <c r="D45" s="1899"/>
      <c r="E45" s="1909" t="s">
        <v>447</v>
      </c>
      <c r="F45" s="610">
        <f>'Alimentatie 2019-2 (Juli)'!E239</f>
        <v>0</v>
      </c>
      <c r="G45" s="1909" t="s">
        <v>447</v>
      </c>
      <c r="H45" s="613">
        <f>'Alimentatie 2019-2 (Juli)'!G239</f>
        <v>0</v>
      </c>
    </row>
    <row r="46" spans="1:8" x14ac:dyDescent="0.3">
      <c r="A46" s="608">
        <v>141</v>
      </c>
      <c r="B46" s="1867" t="str">
        <f>'Alimentatie 2019-2 (Juli)'!C240</f>
        <v>Verblijfskosten kinderen (Zorgkorting)</v>
      </c>
      <c r="C46" s="1900"/>
      <c r="D46" s="1865"/>
      <c r="E46" s="1910"/>
      <c r="F46" s="611">
        <f>'Alimentatie 2019-2 (Juli)'!E240</f>
        <v>0</v>
      </c>
      <c r="G46" s="1910"/>
      <c r="H46" s="614">
        <f>'Alimentatie 2019-2 (Juli)'!G240</f>
        <v>0</v>
      </c>
    </row>
    <row r="47" spans="1:8" ht="15" thickBot="1" x14ac:dyDescent="0.35">
      <c r="A47" s="609">
        <v>141</v>
      </c>
      <c r="B47" s="1878" t="str">
        <f>'Alimentatie 2019-2 (Juli)'!C241</f>
        <v>Eigen aandeel kosten kinderen</v>
      </c>
      <c r="C47" s="1901"/>
      <c r="D47" s="1876"/>
      <c r="E47" s="1911"/>
      <c r="F47" s="612">
        <f>'Alimentatie 2019-2 (Juli)'!E241</f>
        <v>0</v>
      </c>
      <c r="G47" s="1911"/>
      <c r="H47" s="615">
        <f>'Alimentatie 2019-2 (Juli)'!G241</f>
        <v>0</v>
      </c>
    </row>
    <row r="48" spans="1:8" ht="15" thickBot="1" x14ac:dyDescent="0.35">
      <c r="A48" s="606"/>
      <c r="B48" s="1902" t="str">
        <f>'Alimentatie 2019-2 (Juli)'!C242</f>
        <v>Kinderalimentatie per jaar:</v>
      </c>
      <c r="C48" s="1903"/>
      <c r="D48" s="1904"/>
      <c r="E48" s="607">
        <f t="shared" ref="E48" si="0">SUM(E45:E47)</f>
        <v>0</v>
      </c>
      <c r="F48" s="607">
        <f>SUM(F45:F47)</f>
        <v>0</v>
      </c>
      <c r="G48" s="607">
        <f t="shared" ref="G48:H48" si="1">SUM(G45:G47)</f>
        <v>0</v>
      </c>
      <c r="H48" s="607">
        <f t="shared" si="1"/>
        <v>0</v>
      </c>
    </row>
    <row r="49" spans="1:13" ht="15" thickBot="1" x14ac:dyDescent="0.35">
      <c r="A49" s="604"/>
      <c r="B49" s="1871" t="s">
        <v>567</v>
      </c>
      <c r="C49" s="1872"/>
      <c r="D49" s="1872"/>
      <c r="E49" s="605">
        <f>Kinderalimentatie!F21</f>
        <v>0.01</v>
      </c>
    </row>
    <row r="50" spans="1:13" ht="15" thickBot="1" x14ac:dyDescent="0.35">
      <c r="B50" s="564"/>
      <c r="D50" s="564"/>
    </row>
    <row r="51" spans="1:13" ht="18.600000000000001" thickBot="1" x14ac:dyDescent="0.4">
      <c r="B51" s="1914" t="str">
        <f>CONCATENATE(E44," is aan partneralimentatie verschuldigd")</f>
        <v>AP is aan partneralimentatie verschuldigd</v>
      </c>
      <c r="C51" s="1915"/>
      <c r="D51" s="1915"/>
      <c r="E51" s="1444" t="s">
        <v>82</v>
      </c>
      <c r="F51" s="1445" t="s">
        <v>800</v>
      </c>
    </row>
    <row r="52" spans="1:13" ht="18" x14ac:dyDescent="0.35">
      <c r="B52" s="1912" t="s">
        <v>801</v>
      </c>
      <c r="C52" s="1913"/>
      <c r="D52" s="1913"/>
      <c r="E52" s="1446">
        <f>'Alimentatie 2019-2 (Juli)'!E254</f>
        <v>0</v>
      </c>
      <c r="F52" s="1447">
        <f>'Alimentatie 2019-2 (Juli)'!E255</f>
        <v>0</v>
      </c>
    </row>
    <row r="53" spans="1:13" ht="18.600000000000001" thickBot="1" x14ac:dyDescent="0.4">
      <c r="B53" s="1905" t="s">
        <v>802</v>
      </c>
      <c r="C53" s="1906"/>
      <c r="D53" s="1906"/>
      <c r="E53" s="1443">
        <f>Behoefteberekening!E64</f>
        <v>0</v>
      </c>
      <c r="F53" s="1448">
        <f>Behoefteberekening!F64</f>
        <v>0</v>
      </c>
    </row>
    <row r="54" spans="1:13" ht="18.600000000000001" thickBot="1" x14ac:dyDescent="0.4">
      <c r="B54" s="1907" t="s">
        <v>803</v>
      </c>
      <c r="C54" s="1908"/>
      <c r="D54" s="1908"/>
      <c r="E54" s="1604">
        <f>F54/12</f>
        <v>0</v>
      </c>
      <c r="F54" s="1605">
        <f>Jusvergelijking!H12</f>
        <v>0</v>
      </c>
      <c r="G54" s="1916" t="str">
        <f>IF(OR(Jusvergelijking!I14&lt;-0.5,Jusvergelijking!I14&gt;0.5),"Het Correctiebedrag in 'Jusvergelijking' (cel H12) klopt niet !!!","Jusvergelijking is Oke!")</f>
        <v>Jusvergelijking is Oke!</v>
      </c>
      <c r="H54" s="1869"/>
      <c r="I54" s="1869"/>
      <c r="J54" s="1869"/>
      <c r="K54" s="1869"/>
      <c r="L54" s="1869"/>
      <c r="M54" s="1883"/>
    </row>
    <row r="55" spans="1:13" ht="18.600000000000001" thickBot="1" x14ac:dyDescent="0.4">
      <c r="E55" s="1894" t="s">
        <v>846</v>
      </c>
      <c r="F55" s="1895"/>
      <c r="G55" s="1895"/>
      <c r="H55" s="1895"/>
      <c r="I55" s="1895"/>
      <c r="J55" s="1895"/>
      <c r="K55" s="1895"/>
      <c r="L55" s="1895"/>
      <c r="M55" s="1896"/>
    </row>
  </sheetData>
  <sheetProtection algorithmName="SHA-512" hashValue="bbgiIXaPYmny2bIEb0L4mNSalafxdl9LGjHW75Aci8Iq5J+7oPorTJyHaJCio8Uz+tqm9t+bnZV4NGj5BbFWOg==" saltValue="atk3F1zegU5I5NEmBD/pBA==" spinCount="100000" sheet="1" objects="1" scenarios="1"/>
  <mergeCells count="35">
    <mergeCell ref="E55:M55"/>
    <mergeCell ref="B44:D44"/>
    <mergeCell ref="B45:D45"/>
    <mergeCell ref="B46:D46"/>
    <mergeCell ref="B47:D47"/>
    <mergeCell ref="B48:D48"/>
    <mergeCell ref="B53:D53"/>
    <mergeCell ref="B54:D54"/>
    <mergeCell ref="G45:G47"/>
    <mergeCell ref="E45:E47"/>
    <mergeCell ref="B52:D52"/>
    <mergeCell ref="B51:D51"/>
    <mergeCell ref="G54:M54"/>
    <mergeCell ref="A26:H26"/>
    <mergeCell ref="A6:H6"/>
    <mergeCell ref="A3:H3"/>
    <mergeCell ref="A1:H1"/>
    <mergeCell ref="B4:C4"/>
    <mergeCell ref="G4:H4"/>
    <mergeCell ref="B34:D34"/>
    <mergeCell ref="B28:D28"/>
    <mergeCell ref="B49:D49"/>
    <mergeCell ref="B39:D39"/>
    <mergeCell ref="B29:D29"/>
    <mergeCell ref="B30:D30"/>
    <mergeCell ref="B31:D31"/>
    <mergeCell ref="B32:D32"/>
    <mergeCell ref="B33:D33"/>
    <mergeCell ref="B40:D40"/>
    <mergeCell ref="B41:D41"/>
    <mergeCell ref="B42:D42"/>
    <mergeCell ref="B35:D35"/>
    <mergeCell ref="B36:D36"/>
    <mergeCell ref="B37:D37"/>
    <mergeCell ref="B38:D38"/>
  </mergeCells>
  <conditionalFormatting sqref="E52:E54">
    <cfRule type="colorScale" priority="2">
      <colorScale>
        <cfvo type="min"/>
        <cfvo type="percentile" val="50"/>
        <cfvo type="max"/>
        <color rgb="FF63BE7B"/>
        <color rgb="FFFFEB84"/>
        <color rgb="FFF8696B"/>
      </colorScale>
    </cfRule>
  </conditionalFormatting>
  <conditionalFormatting sqref="F52:F54">
    <cfRule type="colorScale" priority="1">
      <colorScale>
        <cfvo type="min"/>
        <cfvo type="percentile" val="50"/>
        <cfvo type="max"/>
        <color rgb="FF63BE7B"/>
        <color rgb="FFFFEB84"/>
        <color rgb="FFF8696B"/>
      </colorScale>
    </cfRule>
  </conditionalFormatting>
  <pageMargins left="0.23622047244094491" right="0.23622047244094491" top="0.74803149606299213" bottom="0.74803149606299213" header="0.31496062992125984" footer="0.31496062992125984"/>
  <pageSetup paperSize="9" scale="78" orientation="portrait" blackAndWhite="1"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A1297-E08D-4B2A-AE21-FABC639AE524}">
  <sheetPr>
    <tabColor rgb="FFFFFF00"/>
  </sheetPr>
  <dimension ref="A1:I45"/>
  <sheetViews>
    <sheetView zoomScale="80" zoomScaleNormal="80" workbookViewId="0">
      <selection activeCell="A2" sqref="A2"/>
    </sheetView>
  </sheetViews>
  <sheetFormatPr defaultColWidth="8.88671875" defaultRowHeight="14.4" x14ac:dyDescent="0.3"/>
  <cols>
    <col min="1" max="1" width="8.88671875" style="291"/>
    <col min="2" max="2" width="120.6640625" style="291" customWidth="1"/>
    <col min="3" max="3" width="50.6640625" style="291" customWidth="1"/>
    <col min="4" max="8" width="8.88671875" style="291"/>
    <col min="9" max="9" width="8.109375" style="291" bestFit="1" customWidth="1"/>
    <col min="10" max="16384" width="8.88671875" style="291"/>
  </cols>
  <sheetData>
    <row r="1" spans="1:8" ht="21.6" thickBot="1" x14ac:dyDescent="0.45">
      <c r="A1" s="1612"/>
      <c r="B1" s="1613" t="s">
        <v>860</v>
      </c>
      <c r="C1" s="1476"/>
      <c r="D1" s="1476"/>
      <c r="E1" s="1476"/>
      <c r="F1" s="1476"/>
      <c r="G1" s="1476"/>
      <c r="H1" s="1477"/>
    </row>
    <row r="2" spans="1:8" ht="15" thickBot="1" x14ac:dyDescent="0.35"/>
    <row r="3" spans="1:8" ht="15" thickBot="1" x14ac:dyDescent="0.35">
      <c r="A3" s="4" t="s">
        <v>865</v>
      </c>
      <c r="B3" s="4" t="s">
        <v>866</v>
      </c>
      <c r="C3" s="1863" t="str">
        <f>Basisgegevens!C21</f>
        <v>2019 - 2e halfjaar</v>
      </c>
    </row>
    <row r="4" spans="1:8" ht="15" thickBot="1" x14ac:dyDescent="0.35">
      <c r="A4" s="30" t="s">
        <v>864</v>
      </c>
      <c r="B4" s="1615" t="s">
        <v>863</v>
      </c>
    </row>
    <row r="5" spans="1:8" ht="28.95" customHeight="1" thickBot="1" x14ac:dyDescent="0.35">
      <c r="A5" s="1624"/>
      <c r="B5" s="1625" t="s">
        <v>861</v>
      </c>
    </row>
    <row r="6" spans="1:8" ht="28.95" customHeight="1" thickBot="1" x14ac:dyDescent="0.35">
      <c r="A6" s="1622"/>
      <c r="B6" s="1623" t="s">
        <v>862</v>
      </c>
    </row>
    <row r="7" spans="1:8" ht="28.95" customHeight="1" thickBot="1" x14ac:dyDescent="0.35">
      <c r="A7" s="1621"/>
      <c r="B7" s="1617" t="s">
        <v>867</v>
      </c>
    </row>
    <row r="8" spans="1:8" ht="28.95" customHeight="1" thickBot="1" x14ac:dyDescent="0.35">
      <c r="A8" s="1620"/>
      <c r="B8" s="1617" t="s">
        <v>871</v>
      </c>
    </row>
    <row r="9" spans="1:8" ht="28.95" customHeight="1" thickBot="1" x14ac:dyDescent="0.35">
      <c r="A9" s="1619"/>
      <c r="B9" s="1617" t="s">
        <v>868</v>
      </c>
    </row>
    <row r="10" spans="1:8" ht="28.95" customHeight="1" thickBot="1" x14ac:dyDescent="0.35">
      <c r="A10" s="1618"/>
      <c r="B10" s="1617" t="s">
        <v>870</v>
      </c>
    </row>
    <row r="11" spans="1:8" ht="28.95" customHeight="1" thickBot="1" x14ac:dyDescent="0.35">
      <c r="A11" s="1616"/>
      <c r="B11" s="1617" t="s">
        <v>869</v>
      </c>
    </row>
    <row r="12" spans="1:8" ht="14.4" customHeight="1" thickBot="1" x14ac:dyDescent="0.35">
      <c r="A12" s="1614"/>
      <c r="B12" s="1614"/>
    </row>
    <row r="13" spans="1:8" ht="14.4" customHeight="1" thickBot="1" x14ac:dyDescent="0.4">
      <c r="A13" s="1637"/>
      <c r="B13" s="1638" t="s">
        <v>872</v>
      </c>
      <c r="C13" s="1639"/>
    </row>
    <row r="15" spans="1:8" ht="16.2" thickBot="1" x14ac:dyDescent="0.35">
      <c r="B15" s="1636" t="s">
        <v>885</v>
      </c>
    </row>
    <row r="16" spans="1:8" ht="15" thickBot="1" x14ac:dyDescent="0.35">
      <c r="A16" s="1630">
        <v>1</v>
      </c>
      <c r="B16" s="1631" t="s">
        <v>874</v>
      </c>
      <c r="C16" s="1632" t="s">
        <v>362</v>
      </c>
    </row>
    <row r="17" spans="1:9" x14ac:dyDescent="0.3">
      <c r="A17" s="436"/>
      <c r="B17" s="1646" t="s">
        <v>875</v>
      </c>
      <c r="C17" s="1633"/>
      <c r="D17" s="603"/>
      <c r="E17" s="603"/>
      <c r="F17" s="603"/>
      <c r="G17" s="603"/>
      <c r="H17" s="603"/>
      <c r="I17" s="603"/>
    </row>
    <row r="18" spans="1:9" ht="57.6" x14ac:dyDescent="0.3">
      <c r="A18" s="489"/>
      <c r="B18" s="1658" t="s">
        <v>899</v>
      </c>
      <c r="C18" s="1219" t="s">
        <v>873</v>
      </c>
      <c r="D18" s="603"/>
      <c r="E18" s="603"/>
      <c r="F18" s="603"/>
      <c r="G18" s="603"/>
      <c r="H18" s="603"/>
      <c r="I18" s="603"/>
    </row>
    <row r="19" spans="1:9" x14ac:dyDescent="0.3">
      <c r="A19" s="489" t="s">
        <v>882</v>
      </c>
      <c r="B19" s="1641" t="s">
        <v>877</v>
      </c>
      <c r="C19" s="1219"/>
      <c r="D19" s="603"/>
      <c r="E19" s="603"/>
      <c r="F19" s="603"/>
      <c r="G19" s="603"/>
      <c r="H19" s="603"/>
      <c r="I19" s="603"/>
    </row>
    <row r="20" spans="1:9" ht="172.8" x14ac:dyDescent="0.3">
      <c r="A20" s="489"/>
      <c r="B20" s="1647" t="s">
        <v>876</v>
      </c>
      <c r="C20" s="1635" t="s">
        <v>900</v>
      </c>
      <c r="D20" s="603"/>
      <c r="E20" s="603"/>
      <c r="F20" s="603"/>
      <c r="G20" s="603"/>
      <c r="H20" s="603"/>
      <c r="I20" s="603"/>
    </row>
    <row r="21" spans="1:9" x14ac:dyDescent="0.3">
      <c r="A21" s="489" t="s">
        <v>883</v>
      </c>
      <c r="B21" s="1641" t="s">
        <v>879</v>
      </c>
      <c r="C21" s="1472"/>
      <c r="D21" s="603"/>
      <c r="E21" s="603"/>
      <c r="F21" s="603"/>
      <c r="G21" s="603"/>
      <c r="H21" s="603"/>
      <c r="I21" s="603"/>
    </row>
    <row r="22" spans="1:9" ht="29.4" thickBot="1" x14ac:dyDescent="0.35">
      <c r="A22" s="490"/>
      <c r="B22" s="1648" t="s">
        <v>878</v>
      </c>
      <c r="C22" s="1473"/>
      <c r="D22" s="603"/>
      <c r="E22" s="603"/>
      <c r="F22" s="603"/>
      <c r="G22" s="603"/>
      <c r="H22" s="603"/>
      <c r="I22" s="603"/>
    </row>
    <row r="23" spans="1:9" ht="15" thickBot="1" x14ac:dyDescent="0.35">
      <c r="B23" s="603"/>
      <c r="C23" s="603"/>
      <c r="D23" s="603"/>
      <c r="E23" s="603"/>
      <c r="F23" s="603"/>
      <c r="G23" s="603"/>
      <c r="H23" s="603"/>
      <c r="I23" s="603"/>
    </row>
    <row r="24" spans="1:9" ht="15" thickBot="1" x14ac:dyDescent="0.35">
      <c r="A24" s="1630">
        <v>2</v>
      </c>
      <c r="B24" s="1631" t="s">
        <v>880</v>
      </c>
      <c r="C24" s="1632" t="s">
        <v>362</v>
      </c>
      <c r="D24" s="603"/>
      <c r="E24" s="603"/>
      <c r="F24" s="603"/>
      <c r="G24" s="603"/>
      <c r="H24" s="603"/>
      <c r="I24" s="603"/>
    </row>
    <row r="25" spans="1:9" ht="28.95" customHeight="1" thickBot="1" x14ac:dyDescent="0.35">
      <c r="A25" s="1334"/>
      <c r="B25" s="1645" t="s">
        <v>881</v>
      </c>
      <c r="C25" s="1634" t="s">
        <v>884</v>
      </c>
      <c r="D25" s="603"/>
      <c r="E25" s="603"/>
      <c r="F25" s="603"/>
      <c r="G25" s="603"/>
      <c r="H25" s="603"/>
      <c r="I25" s="603"/>
    </row>
    <row r="26" spans="1:9" ht="15" thickBot="1" x14ac:dyDescent="0.35">
      <c r="B26" s="603"/>
      <c r="C26" s="603"/>
      <c r="D26" s="603"/>
      <c r="E26" s="603"/>
      <c r="F26" s="603"/>
      <c r="G26" s="603"/>
      <c r="H26" s="603"/>
      <c r="I26" s="603"/>
    </row>
    <row r="27" spans="1:9" ht="15" thickBot="1" x14ac:dyDescent="0.35">
      <c r="A27" s="1630">
        <v>3</v>
      </c>
      <c r="B27" s="1631" t="s">
        <v>886</v>
      </c>
      <c r="C27" s="1632" t="s">
        <v>362</v>
      </c>
      <c r="D27" s="603"/>
      <c r="E27" s="603"/>
      <c r="F27" s="603"/>
      <c r="G27" s="603"/>
      <c r="H27" s="603"/>
      <c r="I27" s="603"/>
    </row>
    <row r="28" spans="1:9" ht="43.8" thickBot="1" x14ac:dyDescent="0.35">
      <c r="A28" s="1334"/>
      <c r="B28" s="1645" t="s">
        <v>887</v>
      </c>
      <c r="C28" s="1659" t="s">
        <v>901</v>
      </c>
      <c r="D28" s="603"/>
      <c r="E28" s="603"/>
      <c r="F28" s="603"/>
      <c r="G28" s="603"/>
      <c r="H28" s="603"/>
      <c r="I28" s="603"/>
    </row>
    <row r="29" spans="1:9" ht="15" thickBot="1" x14ac:dyDescent="0.35"/>
    <row r="30" spans="1:9" ht="15" thickBot="1" x14ac:dyDescent="0.35">
      <c r="A30" s="1630"/>
      <c r="B30" s="1631" t="s">
        <v>892</v>
      </c>
      <c r="C30" s="1632" t="s">
        <v>362</v>
      </c>
    </row>
    <row r="31" spans="1:9" x14ac:dyDescent="0.3">
      <c r="A31" s="1643"/>
      <c r="B31" s="1640" t="s">
        <v>888</v>
      </c>
      <c r="C31" s="1633"/>
    </row>
    <row r="32" spans="1:9" x14ac:dyDescent="0.3">
      <c r="A32" s="435"/>
      <c r="B32" s="1641" t="s">
        <v>913</v>
      </c>
      <c r="C32" s="1219"/>
    </row>
    <row r="33" spans="1:3" x14ac:dyDescent="0.3">
      <c r="A33" s="435"/>
      <c r="B33" s="1641" t="s">
        <v>889</v>
      </c>
      <c r="C33" s="1219"/>
    </row>
    <row r="34" spans="1:3" x14ac:dyDescent="0.3">
      <c r="A34" s="435"/>
      <c r="B34" s="1641" t="s">
        <v>890</v>
      </c>
      <c r="C34" s="1219"/>
    </row>
    <row r="35" spans="1:3" ht="15" thickBot="1" x14ac:dyDescent="0.35">
      <c r="A35" s="1644"/>
      <c r="B35" s="1642" t="s">
        <v>891</v>
      </c>
      <c r="C35" s="1279"/>
    </row>
    <row r="36" spans="1:3" ht="15" thickBot="1" x14ac:dyDescent="0.35"/>
    <row r="37" spans="1:3" ht="18.600000000000001" thickBot="1" x14ac:dyDescent="0.4">
      <c r="A37" s="1651"/>
      <c r="B37" s="1649" t="s">
        <v>893</v>
      </c>
      <c r="C37" s="1650"/>
    </row>
    <row r="38" spans="1:3" ht="28.95" customHeight="1" x14ac:dyDescent="0.3">
      <c r="A38" s="1654" t="s">
        <v>898</v>
      </c>
      <c r="B38" s="1917" t="s">
        <v>950</v>
      </c>
      <c r="C38" s="1918"/>
    </row>
    <row r="39" spans="1:3" ht="28.95" customHeight="1" thickBot="1" x14ac:dyDescent="0.35">
      <c r="A39" s="1655" t="s">
        <v>897</v>
      </c>
      <c r="B39" s="1919" t="s">
        <v>894</v>
      </c>
      <c r="C39" s="1920"/>
    </row>
    <row r="40" spans="1:3" ht="15" thickBot="1" x14ac:dyDescent="0.35"/>
    <row r="41" spans="1:3" ht="18.600000000000001" thickBot="1" x14ac:dyDescent="0.4">
      <c r="A41" s="1656"/>
      <c r="B41" s="1652" t="s">
        <v>895</v>
      </c>
      <c r="C41" s="1653"/>
    </row>
    <row r="42" spans="1:3" ht="37.200000000000003" customHeight="1" thickBot="1" x14ac:dyDescent="0.4">
      <c r="A42" s="1657" t="s">
        <v>896</v>
      </c>
      <c r="B42" s="1921" t="s">
        <v>951</v>
      </c>
      <c r="C42" s="1922"/>
    </row>
    <row r="43" spans="1:3" ht="15" thickBot="1" x14ac:dyDescent="0.35"/>
    <row r="44" spans="1:3" ht="18.600000000000001" thickBot="1" x14ac:dyDescent="0.4">
      <c r="A44" s="1849"/>
      <c r="B44" s="1850" t="s">
        <v>930</v>
      </c>
    </row>
    <row r="45" spans="1:3" ht="61.8" customHeight="1" thickBot="1" x14ac:dyDescent="0.35">
      <c r="A45" s="1851"/>
      <c r="B45" s="1864" t="s">
        <v>955</v>
      </c>
    </row>
  </sheetData>
  <sheetProtection algorithmName="SHA-512" hashValue="hxixlREDz8wrb5hJ37sdYq5kgPi/WE9ZQxr8btFoDlSam8UrP2LMIPnXhsmTxwy6921ZoVbkm/BNBDMydxkhSQ==" saltValue="ife30ehJA/6W9Jv/wl6zsQ==" spinCount="100000" sheet="1" objects="1" scenarios="1"/>
  <mergeCells count="3">
    <mergeCell ref="B38:C38"/>
    <mergeCell ref="B39:C39"/>
    <mergeCell ref="B42:C4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AR737"/>
  <sheetViews>
    <sheetView zoomScale="70" zoomScaleNormal="70" workbookViewId="0">
      <selection activeCell="C5" sqref="C5"/>
    </sheetView>
  </sheetViews>
  <sheetFormatPr defaultColWidth="8.88671875" defaultRowHeight="14.4" x14ac:dyDescent="0.3"/>
  <cols>
    <col min="1" max="1" width="6.33203125" style="54" customWidth="1"/>
    <col min="2" max="2" width="50.77734375" style="116" customWidth="1"/>
    <col min="3" max="4" width="15.6640625" style="60" customWidth="1"/>
    <col min="5" max="7" width="15.6640625" style="2" customWidth="1"/>
    <col min="8" max="8" width="12.33203125" style="2" bestFit="1" customWidth="1"/>
    <col min="9" max="9" width="13.33203125" style="2" bestFit="1" customWidth="1"/>
    <col min="10" max="10" width="14.6640625" style="265" customWidth="1"/>
    <col min="11" max="11" width="5.6640625" style="373" customWidth="1"/>
    <col min="12" max="12" width="5.6640625" style="2" customWidth="1"/>
    <col min="13" max="13" width="18.33203125" style="54" customWidth="1"/>
    <col min="14" max="18" width="15.6640625" style="54" customWidth="1"/>
    <col min="19" max="19" width="47.109375" style="2" bestFit="1" customWidth="1"/>
    <col min="20" max="21" width="20.77734375" style="2" customWidth="1"/>
    <col min="22" max="22" width="20.77734375" style="1357" customWidth="1"/>
    <col min="23" max="23" width="20.77734375" style="2" customWidth="1"/>
    <col min="24" max="24" width="20.77734375" style="1357" customWidth="1"/>
    <col min="25" max="25" width="20.77734375" style="2" customWidth="1"/>
    <col min="26" max="26" width="9" style="2" bestFit="1" customWidth="1"/>
    <col min="27" max="27" width="15.6640625" style="1441" customWidth="1"/>
    <col min="28" max="16384" width="8.88671875" style="2"/>
  </cols>
  <sheetData>
    <row r="1" spans="1:28" s="722" customFormat="1" ht="20.399999999999999" thickBot="1" x14ac:dyDescent="0.35">
      <c r="A1" s="783"/>
      <c r="B1" s="784" t="s">
        <v>673</v>
      </c>
      <c r="C1" s="785"/>
      <c r="D1" s="785"/>
      <c r="E1" s="786"/>
      <c r="F1" s="786"/>
      <c r="G1" s="786"/>
      <c r="H1" s="786"/>
      <c r="I1" s="786"/>
      <c r="J1" s="786"/>
      <c r="K1" s="742"/>
      <c r="L1" s="166" t="s">
        <v>328</v>
      </c>
      <c r="M1" s="54"/>
      <c r="N1" s="54"/>
      <c r="O1" s="54"/>
      <c r="P1" s="54"/>
      <c r="Q1" s="54"/>
      <c r="R1" s="54"/>
      <c r="S1" s="2"/>
      <c r="T1" s="2"/>
      <c r="U1" s="770"/>
      <c r="V1" s="2026" t="s">
        <v>807</v>
      </c>
      <c r="W1" s="2027"/>
      <c r="X1" s="2026" t="s">
        <v>785</v>
      </c>
      <c r="Y1" s="2027"/>
      <c r="Z1" s="2"/>
      <c r="AA1" s="1441"/>
    </row>
    <row r="2" spans="1:28" s="1180" customFormat="1" ht="20.399999999999999" thickBot="1" x14ac:dyDescent="0.35">
      <c r="A2" s="1284"/>
      <c r="B2" s="1285"/>
      <c r="C2" s="1285"/>
      <c r="D2" s="1285"/>
      <c r="E2" s="1285"/>
      <c r="F2" s="1285"/>
      <c r="L2" s="2"/>
      <c r="M2" s="54"/>
      <c r="N2" s="138" t="str">
        <f>$C$4</f>
        <v>AP</v>
      </c>
      <c r="O2" s="54"/>
      <c r="P2" s="54"/>
      <c r="Q2" s="54"/>
      <c r="R2" s="61" t="str">
        <f>$D$4</f>
        <v>AG</v>
      </c>
      <c r="S2" s="2"/>
      <c r="T2" s="138" t="str">
        <f>$C$4</f>
        <v>AP</v>
      </c>
      <c r="U2" s="61" t="str">
        <f>$D$4</f>
        <v>AG</v>
      </c>
      <c r="V2" s="61" t="str">
        <f>$C$4</f>
        <v>AP</v>
      </c>
      <c r="W2" s="61" t="str">
        <f>$D$4</f>
        <v>AG</v>
      </c>
      <c r="X2" s="2036" t="str">
        <f>$D$4</f>
        <v>AG</v>
      </c>
      <c r="Y2" s="2037"/>
      <c r="Z2" s="1441"/>
      <c r="AA2" s="1441"/>
    </row>
    <row r="3" spans="1:28" s="1180" customFormat="1" ht="15" thickBot="1" x14ac:dyDescent="0.35">
      <c r="A3" s="30" t="s">
        <v>415</v>
      </c>
      <c r="B3" s="345" t="s">
        <v>146</v>
      </c>
      <c r="C3" s="99" t="s">
        <v>696</v>
      </c>
      <c r="D3" s="99" t="s">
        <v>695</v>
      </c>
      <c r="E3" s="1982" t="s">
        <v>362</v>
      </c>
      <c r="F3" s="1983"/>
      <c r="G3" s="1983"/>
      <c r="H3" s="1983"/>
      <c r="I3" s="1983"/>
      <c r="J3" s="1984"/>
      <c r="K3" s="1179"/>
      <c r="L3" s="1956" t="s">
        <v>315</v>
      </c>
      <c r="M3" s="1957"/>
      <c r="N3" s="160">
        <f>'Alimentatie 2019-2 (Juli)'!$E$104</f>
        <v>0</v>
      </c>
      <c r="O3" s="56" t="s">
        <v>316</v>
      </c>
      <c r="P3" s="1956" t="s">
        <v>315</v>
      </c>
      <c r="Q3" s="1957"/>
      <c r="R3" s="1404">
        <f>'Alimentatie 2019-2 (Juli)'!$G$104</f>
        <v>0</v>
      </c>
      <c r="S3" s="795" t="s">
        <v>733</v>
      </c>
      <c r="T3" s="1697">
        <f>N3-T4</f>
        <v>0</v>
      </c>
      <c r="U3" s="1697">
        <f>R3-U4</f>
        <v>0</v>
      </c>
      <c r="V3" s="1468" t="s">
        <v>821</v>
      </c>
      <c r="W3" s="1468" t="s">
        <v>821</v>
      </c>
      <c r="X3" s="1469" t="s">
        <v>788</v>
      </c>
      <c r="Y3" s="1470"/>
      <c r="Z3" s="1441"/>
      <c r="AA3" s="1441"/>
    </row>
    <row r="4" spans="1:28" s="722" customFormat="1" ht="15" thickBot="1" x14ac:dyDescent="0.35">
      <c r="A4" s="67" t="s">
        <v>847</v>
      </c>
      <c r="B4" s="245" t="s">
        <v>147</v>
      </c>
      <c r="C4" s="214" t="s">
        <v>927</v>
      </c>
      <c r="D4" s="214" t="s">
        <v>928</v>
      </c>
      <c r="E4" s="2114" t="s">
        <v>674</v>
      </c>
      <c r="F4" s="2115"/>
      <c r="G4" s="2115"/>
      <c r="H4" s="2115"/>
      <c r="I4" s="2115"/>
      <c r="J4" s="2116"/>
      <c r="L4" s="2056" t="s">
        <v>325</v>
      </c>
      <c r="M4" s="2057"/>
      <c r="N4" s="1816">
        <f>YEAR($C$9)</f>
        <v>1900</v>
      </c>
      <c r="O4" s="54"/>
      <c r="P4" s="2056" t="s">
        <v>325</v>
      </c>
      <c r="Q4" s="2057"/>
      <c r="R4" s="1814">
        <f>YEAR($D$9)</f>
        <v>1900</v>
      </c>
      <c r="S4" s="795" t="s">
        <v>693</v>
      </c>
      <c r="T4" s="1818">
        <f>'Alimentatie 2019-2 (Juli)'!E80</f>
        <v>0</v>
      </c>
      <c r="U4" s="1818">
        <f>'Alimentatie 2019-2 (Juli)'!G80</f>
        <v>0</v>
      </c>
      <c r="V4" s="1819">
        <f>Jusvergelijking!H12+Jusvergelijking!E25</f>
        <v>0</v>
      </c>
      <c r="W4" s="1819">
        <f>Jusvergelijking!H12+Jusvergelijking!G25</f>
        <v>0</v>
      </c>
      <c r="X4" s="1820">
        <f>Behoefteberekening!F59*1.057</f>
        <v>-7.6104000000000005E-2</v>
      </c>
      <c r="Y4" s="1470"/>
      <c r="Z4" s="1441"/>
      <c r="AA4" s="1441"/>
    </row>
    <row r="5" spans="1:28" ht="15" thickBot="1" x14ac:dyDescent="0.35">
      <c r="A5" s="154" t="s">
        <v>848</v>
      </c>
      <c r="B5" s="346" t="s">
        <v>162</v>
      </c>
      <c r="C5" s="215">
        <v>0</v>
      </c>
      <c r="D5" s="215">
        <v>0</v>
      </c>
      <c r="E5" s="1925"/>
      <c r="F5" s="1926"/>
      <c r="G5" s="1926"/>
      <c r="H5" s="1926"/>
      <c r="I5" s="1926"/>
      <c r="J5" s="1927"/>
      <c r="K5" s="60"/>
      <c r="L5" s="2058" t="s">
        <v>317</v>
      </c>
      <c r="M5" s="2060"/>
      <c r="N5" s="1817">
        <f>$C$16</f>
        <v>2019</v>
      </c>
      <c r="P5" s="2058" t="s">
        <v>317</v>
      </c>
      <c r="Q5" s="2059"/>
      <c r="R5" s="1815">
        <f>$C$16</f>
        <v>2019</v>
      </c>
      <c r="S5" s="770"/>
      <c r="T5" s="2022" t="s">
        <v>441</v>
      </c>
      <c r="U5" s="2022" t="s">
        <v>441</v>
      </c>
      <c r="V5" s="1972" t="s">
        <v>816</v>
      </c>
      <c r="W5" s="1972" t="s">
        <v>816</v>
      </c>
      <c r="X5" s="2034" t="s">
        <v>786</v>
      </c>
      <c r="Y5" s="2030" t="s">
        <v>787</v>
      </c>
      <c r="Z5" s="1441"/>
    </row>
    <row r="6" spans="1:28" ht="15" thickBot="1" x14ac:dyDescent="0.35">
      <c r="A6" s="154" t="s">
        <v>849</v>
      </c>
      <c r="B6" s="346" t="s">
        <v>679</v>
      </c>
      <c r="C6" s="1813">
        <f>YEAR($C$15-(C$5-2))-1900</f>
        <v>119</v>
      </c>
      <c r="D6" s="1813">
        <f>YEAR($C$15-(D$5-2))-1900</f>
        <v>119</v>
      </c>
      <c r="E6" s="1925" t="s">
        <v>725</v>
      </c>
      <c r="F6" s="1926"/>
      <c r="G6" s="1926"/>
      <c r="H6" s="1926"/>
      <c r="I6" s="1926"/>
      <c r="J6" s="1927"/>
      <c r="L6" s="164" t="s">
        <v>300</v>
      </c>
      <c r="M6" s="165" t="s">
        <v>324</v>
      </c>
      <c r="N6" s="1991" t="s">
        <v>170</v>
      </c>
      <c r="O6" s="1992"/>
      <c r="P6" s="1992"/>
      <c r="Q6" s="162" t="s">
        <v>324</v>
      </c>
      <c r="R6" s="1980" t="s">
        <v>170</v>
      </c>
      <c r="S6" s="1981"/>
      <c r="T6" s="2022"/>
      <c r="U6" s="2039"/>
      <c r="V6" s="1973"/>
      <c r="W6" s="1973"/>
      <c r="X6" s="2035"/>
      <c r="Y6" s="2031"/>
      <c r="Z6" s="1441"/>
    </row>
    <row r="7" spans="1:28" x14ac:dyDescent="0.3">
      <c r="A7" s="154" t="s">
        <v>850</v>
      </c>
      <c r="B7" s="346" t="s">
        <v>234</v>
      </c>
      <c r="C7" s="216" t="s">
        <v>164</v>
      </c>
      <c r="D7" s="216" t="s">
        <v>164</v>
      </c>
      <c r="E7" s="1925" t="s">
        <v>726</v>
      </c>
      <c r="F7" s="1926"/>
      <c r="G7" s="1926"/>
      <c r="H7" s="1926"/>
      <c r="I7" s="1926"/>
      <c r="J7" s="1927"/>
      <c r="L7" s="529">
        <v>1</v>
      </c>
      <c r="M7" s="507">
        <f>IF(Q15="n.v.t",IF(Q25="n.v.t",IF(Q38="n.v.t",IF(Q47="n.v.t",IF(Q48="n.v.t",IF(Q49="n.v.t",IF(Q50="n.v.t",IF(Q51="n.v.t",IF(Q52="n.v.t",IF(Q53="n.v.t",IF(Q54="n.v.t",IF(Q55="n.v.t",IF(Q56="n.v.t",IF(Q57="n.v.t",IF(Q58="n.v.t","???",Q58),Q57),Q56),Q55),Q54),Q53),Q52),Q51),Q50),Q49),Q48),Q47),Q38),Q25),Q15)</f>
        <v>0</v>
      </c>
      <c r="N7" s="2064" t="str">
        <f>IF($Q15="n.v.t",IF($Q25="n.v.t",IF($Q38="n.v.t",IF($Q47="n.v.t",IF($Q48="n.v.t",IF($Q49="n.v.t",IF($Q50="n.v.t",IF($Q51="n.v.t",IF($Q52="n.v.t",IF($Q53="n.v.t",IF($Q54="n.v.t",IF($Q55="n.v.t",IF($Q56="n.v.t",IF($Q57="n.v.t",IF($Q58="n.v.t","???",S58),S57),S56),S55),S54),S53),S52),S51),S50),S49),S48),S47),S38),S25),S15)</f>
        <v>1: 0 t/m 20384 tarief: 18,75% - Max. 3822</v>
      </c>
      <c r="O7" s="2065"/>
      <c r="P7" s="2065"/>
      <c r="Q7" s="507">
        <f>IF(R15="n.v.t",IF(R25="n.v.t",IF(R38="n.v.t",IF(R47="n.v.t",IF(R48="n.v.t",IF(R49="n.v.t",IF(R50="n.v.t",IF(R51="n.v.t",IF(R52="n.v.t",IF(R53="n.v.t",IF(R54="n.v.t",IF(R55="n.v.t",IF(R56="n.v.t",IF(R57="n.v.t",IF(R58="n.v.t","???",R58),R57),R56),R55),R54),R53),R52),R51),R50),R49),R48),R47),R38),R25),R15)</f>
        <v>0</v>
      </c>
      <c r="R7" s="1931" t="str">
        <f>IF($R15="n.v.t",IF($R25="n.v.t",IF($R38="n.v.t",IF($R47="n.v.t",IF($R48="n.v.t",IF($R49="n.v.t",IF($R50="n.v.t",IF($R51="n.v.t",IF($R52="n.v.t",IF($R53="n.v.t",IF($R54="n.v.t",IF($R55="n.v.t",IF($R56="n.v.t",IF($R57="n.v.t",IF($R58="n.v.t","???",S58),S57),S56),S55),S54),S53),S52),S51),S50),S49),S48),S47),S38),S25),S15)</f>
        <v>1: 0 t/m 20384 tarief: 18,75% - Max. 3822</v>
      </c>
      <c r="S7" s="1932"/>
      <c r="T7" s="821">
        <f t="shared" ref="T7:Y7" si="0">IF(T15="n.v.t",IF(T25="n.v.t",IF(T38="n.v.t",IF(T47="n.v.t",IF(T48="n.v.t",IF(T49="n.v.t",IF(T50="n.v.t",IF(T51="n.v.t",IF(T52="n.v.t",IF(T53="n.v.t",IF(T54="n.v.t",IF(T55="n.v.t",IF(T56="n.v.t",IF(T57="n.v.t",IF(T58="n.v.t","???",T58),T57),T56),T55),T54),T53),T52),T51),T50),T49),T48),T47),T38),T25),T15)</f>
        <v>0</v>
      </c>
      <c r="U7" s="821">
        <f t="shared" si="0"/>
        <v>0</v>
      </c>
      <c r="V7" s="821">
        <f t="shared" si="0"/>
        <v>0</v>
      </c>
      <c r="W7" s="1460">
        <f t="shared" si="0"/>
        <v>0</v>
      </c>
      <c r="X7" s="1398">
        <f t="shared" si="0"/>
        <v>0</v>
      </c>
      <c r="Y7" s="1399">
        <f t="shared" si="0"/>
        <v>0</v>
      </c>
      <c r="Z7" s="1441"/>
    </row>
    <row r="8" spans="1:28" x14ac:dyDescent="0.3">
      <c r="A8" s="154" t="s">
        <v>851</v>
      </c>
      <c r="B8" s="346" t="s">
        <v>235</v>
      </c>
      <c r="C8" s="216" t="s">
        <v>165</v>
      </c>
      <c r="D8" s="216" t="s">
        <v>165</v>
      </c>
      <c r="E8" s="1925" t="s">
        <v>727</v>
      </c>
      <c r="F8" s="1926"/>
      <c r="G8" s="1926"/>
      <c r="H8" s="1926"/>
      <c r="I8" s="1926"/>
      <c r="J8" s="1927"/>
      <c r="L8" s="530">
        <v>2</v>
      </c>
      <c r="M8" s="482">
        <f>IF(Q16="n.v.t",IF(Q26="n.v.t",IF(Q39="n.v.t",IF(Q59="n.v.t",IF(Q60="n.v.t",IF(Q61="n.v.t",IF(Q62="n.v.t",IF(Q63="n.v.t",IF(Q64="n.v.t",IF(Q65="n.v.t",IF(Q66="n.v.t",IF(Q67="n.v.t",IF(Q68="n.v.t",IF(Q69="n.v.t",IF(Q70="n.v.t","",Q70),Q69),Q68),Q67),Q66),Q65),Q64),Q63),Q62),Q61),Q60),Q59),Q39),Q26),Q16)</f>
        <v>0</v>
      </c>
      <c r="N8" s="1978" t="str">
        <f>IF($Q16="n.v.t",IF($Q26="n.v.t",IF($Q39="n.v.t",IF($Q59="n.v.t",IF($Q60="n.v.t",IF($Q61="n.v.t",IF($Q62="n.v.t",IF($Q63="n.v.t",IF($Q64="n.v.t",IF($Q65="n.v.t",IF($Q66="n.v.t",IF($Q67="n.v.t",IF($Q68="n.v.t",IF($Q69="n.v.t",IF($Q70="n.v.t","",S70),S69),S68),S67),S66),S65),S64),S63),S62),S61),S60),S59),S39),S26),S16)</f>
        <v>2: 20385 t/m 34817 tarief: 20,2% - Max. 2915</v>
      </c>
      <c r="O8" s="1979"/>
      <c r="P8" s="1979"/>
      <c r="Q8" s="482">
        <f>IF(R16="n.v.t",IF(R26="n.v.t",IF(R39="n.v.t",IF(R59="n.v.t",IF(R60="n.v.t",IF(R61="n.v.t",IF(R62="n.v.t",IF(R63="n.v.t",IF(R64="n.v.t",IF(R65="n.v.t",IF(R66="n.v.t",IF(R67="n.v.t",IF(R68="n.v.t",IF(R69="n.v.t",IF(R70="n.v.t","",R70),R69),R68),R67),R66),R65),R64),R63),R62),R61),R60),R59),R39),R26),R16)</f>
        <v>0</v>
      </c>
      <c r="R8" s="1933" t="str">
        <f>IF($R16="n.v.t",IF($R26="n.v.t",IF($R39="n.v.t",IF($R59="n.v.t",IF($R60="n.v.t",IF($R61="n.v.t",IF($R62="n.v.t",IF($R63="n.v.t",IF($R64="n.v.t",IF($R65="n.v.t",IF($R66="n.v.t",IF($R67="n.v.t",IF($R68="n.v.t",IF($R69="n.v.t",IF($R70="n.v.t","",S70),S69),S68),S67),S66),S65),S64),S63),S62),S61),S60),S59),S39),S26),S16)</f>
        <v>2: 20385 t/m 34817 tarief: 20,2% - Max. 2915</v>
      </c>
      <c r="S8" s="1934"/>
      <c r="T8" s="822">
        <f t="shared" ref="T8:Y8" si="1">IF(T16="n.v.t",IF(T26="n.v.t",IF(T39="n.v.t",IF(T59="n.v.t",IF(T60="n.v.t",IF(T61="n.v.t",IF(T62="n.v.t",IF(T63="n.v.t",IF(T64="n.v.t",IF(T65="n.v.t",IF(T66="n.v.t",IF(T67="n.v.t",IF(T68="n.v.t",IF(T69="n.v.t",IF(T70="n.v.t","",T70),T69),T68),T67),T66),T65),T64),T63),T62),T61),T60),T59),T39),T26),T16)</f>
        <v>0</v>
      </c>
      <c r="U8" s="822">
        <f t="shared" si="1"/>
        <v>0</v>
      </c>
      <c r="V8" s="822">
        <f t="shared" si="1"/>
        <v>0</v>
      </c>
      <c r="W8" s="1461">
        <f t="shared" si="1"/>
        <v>0</v>
      </c>
      <c r="X8" s="1400">
        <f t="shared" si="1"/>
        <v>0</v>
      </c>
      <c r="Y8" s="1401">
        <f t="shared" si="1"/>
        <v>0</v>
      </c>
      <c r="Z8" s="1441"/>
    </row>
    <row r="9" spans="1:28" ht="15" thickBot="1" x14ac:dyDescent="0.35">
      <c r="A9" s="390" t="s">
        <v>852</v>
      </c>
      <c r="B9" s="381" t="s">
        <v>240</v>
      </c>
      <c r="C9" s="1286">
        <v>0</v>
      </c>
      <c r="D9" s="1286">
        <v>0</v>
      </c>
      <c r="E9" s="2117" t="s">
        <v>715</v>
      </c>
      <c r="F9" s="2118"/>
      <c r="G9" s="2119" t="s">
        <v>714</v>
      </c>
      <c r="H9" s="2118"/>
      <c r="I9" s="2118"/>
      <c r="J9" s="2120"/>
      <c r="L9" s="530">
        <v>3</v>
      </c>
      <c r="M9" s="482">
        <f>IF(Q17="n.v.t",IF(Q27="n.v.t",IF(Q40="n.v.t",IF(Q71="n.v.t","???",Q71),Q40),Q27),Q17)</f>
        <v>0</v>
      </c>
      <c r="N9" s="1978" t="str">
        <f>IF($Q17="n.v.t",IF($Q27="n.v.t",IF($Q40="n.v.t",IF($Q71="n.v.t","???",S71),S40),S27),S17)</f>
        <v>3: 34818 t/m 68507 tarief: 38,1% - Max. 12836</v>
      </c>
      <c r="O9" s="1979"/>
      <c r="P9" s="1979"/>
      <c r="Q9" s="482">
        <f>IF(R17="n.v.t",IF(R27="n.v.t",IF(R40="n.v.t",IF(R71="n.v.t","???",R71),R40),R27),R17)</f>
        <v>0</v>
      </c>
      <c r="R9" s="1933" t="str">
        <f>IF($R17="n.v.t",IF(R27="n.v.t",IF(R40="n.v.t",IF(R71="n.v.t","???",S71),S40),S27),S17)</f>
        <v>3: 34818 t/m 68507 tarief: 38,1% - Max. 12836</v>
      </c>
      <c r="S9" s="1934"/>
      <c r="T9" s="822">
        <f t="shared" ref="T9:Y10" si="2">IF(T17="n.v.t",IF(T27="n.v.t",IF(T40="n.v.t",IF(T71="n.v.t","???",T71),T40),T27),T17)</f>
        <v>0</v>
      </c>
      <c r="U9" s="822">
        <f t="shared" si="2"/>
        <v>0</v>
      </c>
      <c r="V9" s="822">
        <f t="shared" si="2"/>
        <v>0</v>
      </c>
      <c r="W9" s="1461">
        <f t="shared" si="2"/>
        <v>0</v>
      </c>
      <c r="X9" s="1400">
        <f t="shared" si="2"/>
        <v>0</v>
      </c>
      <c r="Y9" s="1401">
        <f t="shared" si="2"/>
        <v>0</v>
      </c>
      <c r="Z9" s="1441"/>
      <c r="AB9" s="56"/>
    </row>
    <row r="10" spans="1:28" ht="15" thickBot="1" x14ac:dyDescent="0.35">
      <c r="A10" s="67" t="s">
        <v>853</v>
      </c>
      <c r="B10" s="245" t="s">
        <v>753</v>
      </c>
      <c r="C10" s="1810" t="str">
        <f>IF(C$9&lt;=$C$15,"Ja","Nee")</f>
        <v>Ja</v>
      </c>
      <c r="D10" s="1810" t="str">
        <f>IF(D$9&lt;=$C$15,"Ja","Nee")</f>
        <v>Ja</v>
      </c>
      <c r="E10" s="1928" t="s">
        <v>728</v>
      </c>
      <c r="F10" s="1929"/>
      <c r="G10" s="1929"/>
      <c r="H10" s="1929"/>
      <c r="I10" s="1929"/>
      <c r="J10" s="1930"/>
      <c r="L10" s="531">
        <v>4</v>
      </c>
      <c r="M10" s="508">
        <f>IF(Q18="n.v.t",IF(Q28="n.v.t",IF(Q41="n.v.t",IF(Q72="n.v.t","???",Q72),Q41),Q28),Q18)</f>
        <v>0</v>
      </c>
      <c r="N10" s="2078" t="str">
        <f>IF($Q18="n.v.t",IF($Q28="n.v.t",IF($Q41="n.v.t",IF($Q72="n.v.t","???",S72),S41),S28),S18)</f>
        <v>4: vanaf 68508 tarief: 51,75%</v>
      </c>
      <c r="O10" s="2079"/>
      <c r="P10" s="2079"/>
      <c r="Q10" s="508">
        <f>IF(R18="n.v.t",IF(R28="n.v.t",IF(R41="n.v.t",IF(R72="n.v.t","???",R72),R41),R28),R18)</f>
        <v>0</v>
      </c>
      <c r="R10" s="2125" t="str">
        <f>IF($R18="n.v.t",IF(R28="n.v.t",IF(R41="n.v.t",IF(R72="n.v.t","???",S72),S41),S28),S18)</f>
        <v>4: vanaf 68508 tarief: 51,75%</v>
      </c>
      <c r="S10" s="2126"/>
      <c r="T10" s="823">
        <f t="shared" si="2"/>
        <v>0</v>
      </c>
      <c r="U10" s="823">
        <f t="shared" si="2"/>
        <v>0</v>
      </c>
      <c r="V10" s="823">
        <f t="shared" si="2"/>
        <v>0</v>
      </c>
      <c r="W10" s="1462">
        <f t="shared" si="2"/>
        <v>0</v>
      </c>
      <c r="X10" s="1402">
        <f t="shared" si="2"/>
        <v>0</v>
      </c>
      <c r="Y10" s="1403">
        <f t="shared" si="2"/>
        <v>0</v>
      </c>
      <c r="Z10" s="1441"/>
      <c r="AB10" s="57"/>
    </row>
    <row r="11" spans="1:28" ht="15" thickBot="1" x14ac:dyDescent="0.35">
      <c r="A11" s="154" t="s">
        <v>854</v>
      </c>
      <c r="B11" s="346" t="s">
        <v>750</v>
      </c>
      <c r="C11" s="1811">
        <f>DATE(YEAR(C5)+66,MONTH(C5),DAY(C5))</f>
        <v>24107</v>
      </c>
      <c r="D11" s="1811">
        <f>DATE(YEAR(D5)+66,MONTH(D5),DAY(D5))</f>
        <v>24107</v>
      </c>
      <c r="E11" s="2121" t="s">
        <v>752</v>
      </c>
      <c r="F11" s="2122"/>
      <c r="G11" s="2122"/>
      <c r="H11" s="2122"/>
      <c r="I11" s="2122"/>
      <c r="J11" s="2123"/>
      <c r="M11" s="816">
        <f>SUM(M7:M10)</f>
        <v>0</v>
      </c>
      <c r="Q11" s="816">
        <f>SUM(Q7:Q10)</f>
        <v>0</v>
      </c>
      <c r="R11" s="2"/>
      <c r="T11" s="817">
        <f t="shared" ref="T11:Y11" si="3">SUM(T7:T10)</f>
        <v>0</v>
      </c>
      <c r="U11" s="817">
        <f t="shared" si="3"/>
        <v>0</v>
      </c>
      <c r="V11" s="816">
        <f t="shared" si="3"/>
        <v>0</v>
      </c>
      <c r="W11" s="1463">
        <f t="shared" si="3"/>
        <v>0</v>
      </c>
      <c r="X11" s="1168">
        <f t="shared" si="3"/>
        <v>0</v>
      </c>
      <c r="Y11" s="1385">
        <f t="shared" si="3"/>
        <v>0</v>
      </c>
      <c r="Z11" s="1441"/>
    </row>
    <row r="12" spans="1:28" s="722" customFormat="1" ht="15" thickBot="1" x14ac:dyDescent="0.35">
      <c r="A12" s="71" t="s">
        <v>855</v>
      </c>
      <c r="B12" s="246" t="s">
        <v>751</v>
      </c>
      <c r="C12" s="1812">
        <f>EDATE(DATE(YEAR(C11),MONTH(C11),DAY(C11)),4)</f>
        <v>24227</v>
      </c>
      <c r="D12" s="1812">
        <f>EDATE(DATE(YEAR(D11),MONTH(D11),DAY(D11)),4)</f>
        <v>24227</v>
      </c>
      <c r="E12" s="2129" t="s">
        <v>752</v>
      </c>
      <c r="F12" s="2130"/>
      <c r="G12" s="2130"/>
      <c r="H12" s="2130"/>
      <c r="I12" s="2130"/>
      <c r="J12" s="2131"/>
      <c r="L12" s="2"/>
      <c r="M12" s="54"/>
      <c r="N12" s="54"/>
      <c r="O12" s="54"/>
      <c r="P12" s="54"/>
      <c r="Q12" s="54"/>
      <c r="R12" s="54"/>
      <c r="S12" s="2"/>
      <c r="T12" s="2"/>
      <c r="U12" s="2"/>
      <c r="V12" s="1441"/>
      <c r="W12" s="1441"/>
      <c r="X12" s="2"/>
      <c r="Y12" s="1357"/>
      <c r="Z12" s="1441"/>
      <c r="AA12" s="1441"/>
    </row>
    <row r="13" spans="1:28" s="722" customFormat="1" ht="15" thickBot="1" x14ac:dyDescent="0.35">
      <c r="L13" s="63" t="s">
        <v>321</v>
      </c>
      <c r="M13" s="54"/>
      <c r="N13" s="2"/>
      <c r="O13" s="54"/>
      <c r="P13" s="64" t="s">
        <v>166</v>
      </c>
      <c r="Q13" s="54"/>
      <c r="R13" s="54"/>
      <c r="S13" s="65"/>
      <c r="T13" s="1961" t="s">
        <v>441</v>
      </c>
      <c r="U13" s="1974" t="s">
        <v>441</v>
      </c>
      <c r="V13" s="1961" t="s">
        <v>808</v>
      </c>
      <c r="W13" s="1974" t="s">
        <v>808</v>
      </c>
      <c r="X13" s="2028" t="s">
        <v>782</v>
      </c>
      <c r="Y13" s="2030" t="s">
        <v>783</v>
      </c>
      <c r="Z13" s="1441"/>
      <c r="AA13" s="1441"/>
    </row>
    <row r="14" spans="1:28" s="722" customFormat="1" ht="15" thickBot="1" x14ac:dyDescent="0.35">
      <c r="A14" s="30" t="s">
        <v>415</v>
      </c>
      <c r="B14" s="336" t="s">
        <v>556</v>
      </c>
      <c r="C14" s="156" t="s">
        <v>233</v>
      </c>
      <c r="D14" s="2107" t="s">
        <v>362</v>
      </c>
      <c r="E14" s="1983"/>
      <c r="F14" s="1983"/>
      <c r="G14" s="1983"/>
      <c r="H14" s="1983"/>
      <c r="I14" s="1983"/>
      <c r="J14" s="1984"/>
      <c r="L14" s="145" t="s">
        <v>300</v>
      </c>
      <c r="M14" s="146" t="s">
        <v>442</v>
      </c>
      <c r="N14" s="83" t="s">
        <v>443</v>
      </c>
      <c r="O14" s="83" t="s">
        <v>120</v>
      </c>
      <c r="P14" s="147" t="s">
        <v>0</v>
      </c>
      <c r="Q14" s="138" t="str">
        <f>$C$4</f>
        <v>AP</v>
      </c>
      <c r="R14" s="110" t="str">
        <f>$D$4</f>
        <v>AG</v>
      </c>
      <c r="S14" s="1386" t="s">
        <v>170</v>
      </c>
      <c r="T14" s="1962"/>
      <c r="U14" s="1975"/>
      <c r="V14" s="1962"/>
      <c r="W14" s="1975"/>
      <c r="X14" s="2029"/>
      <c r="Y14" s="2031"/>
      <c r="Z14" s="1441"/>
      <c r="AA14" s="1441"/>
    </row>
    <row r="15" spans="1:28" s="722" customFormat="1" x14ac:dyDescent="0.3">
      <c r="A15" s="67" t="s">
        <v>856</v>
      </c>
      <c r="B15" s="777" t="s">
        <v>665</v>
      </c>
      <c r="C15" s="776">
        <v>43466</v>
      </c>
      <c r="D15" s="2124" t="s">
        <v>671</v>
      </c>
      <c r="E15" s="2112"/>
      <c r="F15" s="2112"/>
      <c r="G15" s="2112"/>
      <c r="H15" s="2112"/>
      <c r="I15" s="2112"/>
      <c r="J15" s="2113"/>
      <c r="L15" s="149">
        <v>1</v>
      </c>
      <c r="M15" s="150">
        <v>0</v>
      </c>
      <c r="N15" s="150">
        <v>20384</v>
      </c>
      <c r="O15" s="151">
        <v>0.36649999999999999</v>
      </c>
      <c r="P15" s="509">
        <f>ROUND(O15*N15,0)</f>
        <v>7471</v>
      </c>
      <c r="Q15" s="507" t="str">
        <f>IF(C$10="Nee",IF($N$3&gt;$N15,$N15*$O15,$N$3*$O15),"n.v.t")</f>
        <v>n.v.t</v>
      </c>
      <c r="R15" s="507" t="str">
        <f>IF(D$10="Nee",IF($R$3&gt;$N15,$N15*$O15,$R$3*$O15),"n.v.t")</f>
        <v>n.v.t</v>
      </c>
      <c r="S15" s="514" t="str">
        <f>CONCATENATE(L15,": ",M15," t/m ",N15," tarief: ",(O15*100),"% - Max. ",ROUND(P15,0))</f>
        <v>1: 0 t/m 20384 tarief: 36,65% - Max. 7471</v>
      </c>
      <c r="T15" s="1388" t="str">
        <f>IF(C$10="Nee",IF($T$3&gt;$N15,$N15*$O15,$T$3*$O15),"n.v.t")</f>
        <v>n.v.t</v>
      </c>
      <c r="U15" s="1387" t="str">
        <f>IF(D$10="Nee",IF($U$3&gt;$N15,$N15*$O15,$U$3*$O15),"n.v.t")</f>
        <v>n.v.t</v>
      </c>
      <c r="V15" s="1388" t="str">
        <f>IF(C$10="Nee",IF($N$3-$V$4&gt;$N15,$N15*$O15,($N$3-$V$4)*$O15),"n.v.t")</f>
        <v>n.v.t</v>
      </c>
      <c r="W15" s="1387" t="str">
        <f>IF(D$10="Nee",IF($R$3+$W$4&gt;$N15,$N15*$O15,($R$3+$W$4)*$O15),"n.v.t")</f>
        <v>n.v.t</v>
      </c>
      <c r="X15" s="1392" t="str">
        <f>IF($D$10="Nee",IF($X$4&lt;=$M15,0,IF($X$4&gt;$N15-SUM($P$15:$P15),$N15-$P15,$X$4)),"n.v.t")</f>
        <v>n.v.t</v>
      </c>
      <c r="Y15" s="1393" t="str">
        <f>IF(X15="n.v.t",X15,X15/(1-$O15))</f>
        <v>n.v.t</v>
      </c>
      <c r="Z15" s="1441"/>
      <c r="AA15" s="1441"/>
    </row>
    <row r="16" spans="1:28" s="722" customFormat="1" ht="15" thickBot="1" x14ac:dyDescent="0.35">
      <c r="A16" s="71" t="s">
        <v>857</v>
      </c>
      <c r="B16" s="778" t="s">
        <v>557</v>
      </c>
      <c r="C16" s="1809">
        <f>YEAR(C15)</f>
        <v>2019</v>
      </c>
      <c r="D16" s="2077" t="s">
        <v>729</v>
      </c>
      <c r="E16" s="1954"/>
      <c r="F16" s="1954"/>
      <c r="G16" s="1954"/>
      <c r="H16" s="1954"/>
      <c r="I16" s="1954"/>
      <c r="J16" s="1955"/>
      <c r="L16" s="68">
        <v>2</v>
      </c>
      <c r="M16" s="482">
        <f>N15+1</f>
        <v>20385</v>
      </c>
      <c r="N16" s="69">
        <v>34300</v>
      </c>
      <c r="O16" s="70">
        <v>0.38100000000000001</v>
      </c>
      <c r="P16" s="511">
        <f>ROUND(O16*(N16-N15),0)</f>
        <v>5302</v>
      </c>
      <c r="Q16" s="482" t="str">
        <f>IF(C$10="Nee",IF($N$3&lt;$M16,0,IF($N$3&gt;$N16,($N16-$N15)*$O16,($N$3-$N15)*$O16)),"n.v.t")</f>
        <v>n.v.t</v>
      </c>
      <c r="R16" s="482" t="str">
        <f>IF(D$10="Nee",IF($R$3&lt;$M16,0,IF($R$3&gt;$N16,($N16-$N15)*$O16,($R$3-$N15)*$O16)),"n.v.t")</f>
        <v>n.v.t</v>
      </c>
      <c r="S16" s="515" t="str">
        <f>CONCATENATE(L16,": ",M16," t/m ",N16," tarief: ",(O16*100),"% - Max. ",ROUND(P16,0))</f>
        <v>2: 20385 t/m 34300 tarief: 38,1% - Max. 5302</v>
      </c>
      <c r="T16" s="1384" t="str">
        <f>IF(C$10="Nee",IF($T$3&lt;$M16,0,IF($T$3&gt;$N16,($N16-$N15)*$O16,($T$3-$N15)*$O16)),"n.v.t")</f>
        <v>n.v.t</v>
      </c>
      <c r="U16" s="1382" t="str">
        <f>IF(D$10="Nee",IF($U$3&lt;$M16,0,IF($U$3&gt;$N16,($N16-$N15)*$O16,($U$3-$N15)*$O16)),"n.v.t")</f>
        <v>n.v.t</v>
      </c>
      <c r="V16" s="1384" t="str">
        <f>IF(C$10="Nee",IF($N$3-$V$4&lt;$M16,0,IF($N$3-$V$4&gt;$N16,($N16-$N15)*$O16,($N$3-$V$4-$N15)*$O16)),"n.v.t")</f>
        <v>n.v.t</v>
      </c>
      <c r="W16" s="1382" t="str">
        <f>IF(D$10="Nee",IF($R$3+$W$4&lt;$M16,0,IF($R$3+$W$4&gt;$N16,($N16-$N15)*$O16,($R$3+$W$4-$N15)*$O16)),"n.v.t")</f>
        <v>n.v.t</v>
      </c>
      <c r="X16" s="1394" t="str">
        <f>IF($D$10="Nee",IF($X$4&lt;$M16-SUM($P$15:$P15),0,IF($X$4&gt;$N16-SUM($P$15:$P16),$N16-$M16-$P16,$X$4-SUM(X$15:X15))),"n.v.t")</f>
        <v>n.v.t</v>
      </c>
      <c r="Y16" s="1395" t="str">
        <f>IF(X16="n.v.t",X16,X16/(1-$O16))</f>
        <v>n.v.t</v>
      </c>
      <c r="Z16" s="1441"/>
      <c r="AA16" s="1441"/>
    </row>
    <row r="17" spans="1:27" s="722" customFormat="1" ht="15" thickBot="1" x14ac:dyDescent="0.35">
      <c r="L17" s="68">
        <v>3</v>
      </c>
      <c r="M17" s="482">
        <f>N16+1</f>
        <v>34301</v>
      </c>
      <c r="N17" s="69">
        <v>68507</v>
      </c>
      <c r="O17" s="70">
        <v>0.38100000000000001</v>
      </c>
      <c r="P17" s="511">
        <f>ROUND(O17*(N17-N16),0)</f>
        <v>13033</v>
      </c>
      <c r="Q17" s="482" t="str">
        <f>IF(C$10="Nee",IF($N$3&lt;$M17,0,IF($N$3&gt;$N17,($N17-$N16)*$O17,($N$3-$N16)*$O17)),"n.v.t")</f>
        <v>n.v.t</v>
      </c>
      <c r="R17" s="482" t="str">
        <f>IF(D$10="Nee",IF($R$3&lt;$M17,0,IF($R$3&gt;$N17,($N17-$N16)*$O17,($R$3-$N16)*$O17)),"n.v.t")</f>
        <v>n.v.t</v>
      </c>
      <c r="S17" s="515" t="str">
        <f>CONCATENATE(L17,": ",M17," t/m ",N17," tarief: ",(O17*100),"% - Max. ",ROUND(P17,0))</f>
        <v>3: 34301 t/m 68507 tarief: 38,1% - Max. 13033</v>
      </c>
      <c r="T17" s="1384" t="str">
        <f>IF(C$10="Nee",IF($T$3&lt;$M17,0,IF($T$3&gt;$N17,($N17-$N16)*$O17,($T$3-$N16)*$O17)),"n.v.t")</f>
        <v>n.v.t</v>
      </c>
      <c r="U17" s="1382" t="str">
        <f>IF(D$10="Nee",IF($U$3&lt;$M17,0,IF($U$3&gt;$N17,($N17-$N16)*$O17,($U$3-$N16)*$O17)),"n.v.t")</f>
        <v>n.v.t</v>
      </c>
      <c r="V17" s="1384" t="str">
        <f>IF(C$10="Nee",IF($N$3-$V$4&lt;$M17,0,IF($N$3-$V$4&gt;$N17,($N17-$N16)*$O17,($N$3-$V$4-$N16)*$O17)),"n.v.t")</f>
        <v>n.v.t</v>
      </c>
      <c r="W17" s="1382" t="str">
        <f>IF(D$10="Nee",IF($R$3+$W$4&lt;$M17,0,IF($R$3+$W$4&gt;$N17,($N17-$N16)*$O17,($R$3+$W$4-$N16)*$O17)),"n.v.t")</f>
        <v>n.v.t</v>
      </c>
      <c r="X17" s="1394" t="str">
        <f>IF($D$10="Nee",IF($X$4&lt;$M17-SUM($P$15:$P16),0,IF($X$4&gt;$N17-SUM($P$15:$P17),$N17-$M17-$P17,$X$4-SUM(X$15:X16))),"n.v.t")</f>
        <v>n.v.t</v>
      </c>
      <c r="Y17" s="1395" t="str">
        <f>IF(X17="n.v.t",X17,X17/(1-$O17))</f>
        <v>n.v.t</v>
      </c>
      <c r="Z17" s="1441"/>
      <c r="AA17" s="1441"/>
    </row>
    <row r="18" spans="1:27" s="722" customFormat="1" ht="15" thickBot="1" x14ac:dyDescent="0.35">
      <c r="A18" s="30" t="s">
        <v>415</v>
      </c>
      <c r="B18" s="336" t="s">
        <v>232</v>
      </c>
      <c r="C18" s="66" t="s">
        <v>233</v>
      </c>
      <c r="D18" s="2107" t="s">
        <v>362</v>
      </c>
      <c r="E18" s="1983"/>
      <c r="F18" s="1983"/>
      <c r="G18" s="1983"/>
      <c r="H18" s="1983"/>
      <c r="I18" s="1983"/>
      <c r="J18" s="1984"/>
      <c r="L18" s="72">
        <v>4</v>
      </c>
      <c r="M18" s="508">
        <f>N17+1</f>
        <v>68508</v>
      </c>
      <c r="N18" s="73"/>
      <c r="O18" s="74">
        <v>0.51749999999999996</v>
      </c>
      <c r="P18" s="75">
        <f>IF(N3&lt;M18,0,(N3-Basisgegevens!N17)*Basisgegevens!O18)</f>
        <v>0</v>
      </c>
      <c r="Q18" s="508" t="str">
        <f>IF(C$10="Nee",IF($N$3&lt;$M18,0,($N$3-$N17)*$O18),"n.v.t")</f>
        <v>n.v.t</v>
      </c>
      <c r="R18" s="508" t="str">
        <f>IF(D$10="Nee",IF($R$3&lt;$M18,0,($R$3-$N17)*$O18),"n.v.t")</f>
        <v>n.v.t</v>
      </c>
      <c r="S18" s="516" t="str">
        <f>CONCATENATE(L18,": vanaf ",M18," tarief: ",(O18*100),"%")</f>
        <v>4: vanaf 68508 tarief: 51,75%</v>
      </c>
      <c r="T18" s="1390" t="str">
        <f>IF(C$10="Nee",IF($T$3&lt;$M18,0,($T$3-$N17)*$O18),"n.v.t")</f>
        <v>n.v.t</v>
      </c>
      <c r="U18" s="1389" t="str">
        <f>IF(D$10="Nee",IF($U$3&lt;$M18,0,($U$3-$N17)*$O18),"n.v.t")</f>
        <v>n.v.t</v>
      </c>
      <c r="V18" s="1384" t="str">
        <f>IF(C$10="Nee",IF($N$3-$V$4&lt;$M18,0,($N$3-$V$4-$N17)*$O18),"n.v.t")</f>
        <v>n.v.t</v>
      </c>
      <c r="W18" s="1389" t="str">
        <f>IF(D$10="Nee",IF($R$3+$W$4&lt;$M18,0,($R$3+$W$4-$N17)*$O18),"n.v.t")</f>
        <v>n.v.t</v>
      </c>
      <c r="X18" s="1394" t="str">
        <f>IF($D$10="Nee",IF($X$4&lt;$M18-SUM($P$15:$P17),0,IF($X$4&gt;=$M18-SUM($P$15:$P17),$X$4-SUM(X$15:X17))),"n.v.t")</f>
        <v>n.v.t</v>
      </c>
      <c r="Y18" s="1397" t="str">
        <f>IF(X18="n.v.t",X18,X18/(1-$O18))</f>
        <v>n.v.t</v>
      </c>
      <c r="Z18" s="1441"/>
      <c r="AA18" s="1441"/>
    </row>
    <row r="19" spans="1:27" s="722" customFormat="1" ht="15" thickBot="1" x14ac:dyDescent="0.35">
      <c r="A19" s="67" t="s">
        <v>858</v>
      </c>
      <c r="B19" s="779" t="s">
        <v>239</v>
      </c>
      <c r="C19" s="781">
        <f>YEAR(C15)</f>
        <v>2019</v>
      </c>
      <c r="D19" s="2124" t="s">
        <v>716</v>
      </c>
      <c r="E19" s="2112"/>
      <c r="F19" s="2112"/>
      <c r="G19" s="2112"/>
      <c r="H19" s="2112"/>
      <c r="I19" s="2112"/>
      <c r="J19" s="2113"/>
      <c r="L19" s="2"/>
      <c r="M19" s="54"/>
      <c r="N19" s="54"/>
      <c r="O19" s="1923" t="s">
        <v>320</v>
      </c>
      <c r="P19" s="1965"/>
      <c r="Q19" s="160">
        <f>SUM(Q15:Q18)</f>
        <v>0</v>
      </c>
      <c r="R19" s="161">
        <f>SUM(R15:R18)</f>
        <v>0</v>
      </c>
      <c r="S19" s="2"/>
      <c r="T19" s="1391">
        <f t="shared" ref="T19:Y19" si="4">SUM(T15:T18)</f>
        <v>0</v>
      </c>
      <c r="U19" s="1161">
        <f t="shared" si="4"/>
        <v>0</v>
      </c>
      <c r="V19" s="1391">
        <f t="shared" si="4"/>
        <v>0</v>
      </c>
      <c r="W19" s="1161">
        <f t="shared" si="4"/>
        <v>0</v>
      </c>
      <c r="X19" s="160">
        <f t="shared" si="4"/>
        <v>0</v>
      </c>
      <c r="Y19" s="161">
        <f t="shared" si="4"/>
        <v>0</v>
      </c>
      <c r="Z19" s="1441"/>
      <c r="AA19" s="770"/>
    </row>
    <row r="20" spans="1:27" s="722" customFormat="1" ht="15" thickBot="1" x14ac:dyDescent="0.35">
      <c r="A20" s="71" t="s">
        <v>859</v>
      </c>
      <c r="B20" s="780" t="s">
        <v>911</v>
      </c>
      <c r="C20" s="782">
        <v>0</v>
      </c>
      <c r="D20" s="2077" t="s">
        <v>672</v>
      </c>
      <c r="E20" s="1954"/>
      <c r="F20" s="1954"/>
      <c r="G20" s="1954"/>
      <c r="H20" s="1954"/>
      <c r="I20" s="1954"/>
      <c r="J20" s="1955"/>
      <c r="L20" s="2"/>
      <c r="M20" s="54"/>
      <c r="N20" s="54"/>
      <c r="O20" s="54"/>
      <c r="P20" s="54"/>
      <c r="Q20" s="54"/>
      <c r="R20" s="54"/>
      <c r="S20" s="2"/>
      <c r="T20" s="2"/>
      <c r="U20" s="770"/>
      <c r="V20" s="770"/>
      <c r="W20" s="1441"/>
      <c r="X20" s="770"/>
      <c r="Y20" s="1357"/>
      <c r="Z20" s="1441"/>
      <c r="AA20" s="1441"/>
    </row>
    <row r="21" spans="1:27" s="722" customFormat="1" ht="16.2" thickBot="1" x14ac:dyDescent="0.35">
      <c r="A21" s="71" t="s">
        <v>948</v>
      </c>
      <c r="B21" s="778" t="s">
        <v>949</v>
      </c>
      <c r="C21" s="1862" t="s">
        <v>931</v>
      </c>
      <c r="E21" s="756"/>
      <c r="L21" s="2"/>
      <c r="M21" s="54"/>
      <c r="N21" s="54"/>
      <c r="O21" s="54"/>
      <c r="P21" s="54"/>
      <c r="Q21" s="54"/>
      <c r="R21" s="54"/>
      <c r="S21" s="2"/>
      <c r="T21" s="2"/>
      <c r="U21" s="2"/>
      <c r="V21" s="770"/>
      <c r="W21" s="1441"/>
      <c r="X21" s="770"/>
      <c r="Y21" s="1357"/>
      <c r="Z21" s="1441"/>
    </row>
    <row r="22" spans="1:27" ht="15" thickBot="1" x14ac:dyDescent="0.35">
      <c r="L22" s="63" t="s">
        <v>736</v>
      </c>
      <c r="N22" s="2"/>
      <c r="P22" s="64" t="s">
        <v>166</v>
      </c>
      <c r="V22" s="1441"/>
      <c r="W22" s="1441"/>
      <c r="X22" s="2"/>
      <c r="Y22" s="1357"/>
      <c r="Z22" s="1441"/>
    </row>
    <row r="23" spans="1:27" ht="15" thickBot="1" x14ac:dyDescent="0.35">
      <c r="A23" s="379">
        <v>41</v>
      </c>
      <c r="B23" s="238" t="s">
        <v>524</v>
      </c>
      <c r="C23" s="144" t="str">
        <f>$C$4</f>
        <v>AP</v>
      </c>
      <c r="D23" s="102"/>
      <c r="E23" s="61" t="str">
        <f>$D$4</f>
        <v>AG</v>
      </c>
      <c r="G23" s="722"/>
      <c r="M23" s="526" t="s">
        <v>322</v>
      </c>
      <c r="N23" s="527">
        <v>16803</v>
      </c>
      <c r="O23" s="139"/>
      <c r="P23" s="139"/>
      <c r="Q23" s="139"/>
      <c r="R23" s="139"/>
      <c r="S23" s="139"/>
      <c r="T23" s="1976" t="s">
        <v>441</v>
      </c>
      <c r="U23" s="2038" t="s">
        <v>441</v>
      </c>
      <c r="V23" s="1961" t="s">
        <v>782</v>
      </c>
      <c r="W23" s="1974" t="s">
        <v>783</v>
      </c>
      <c r="X23" s="2028" t="s">
        <v>782</v>
      </c>
      <c r="Y23" s="2030" t="s">
        <v>783</v>
      </c>
      <c r="Z23" s="1441"/>
    </row>
    <row r="24" spans="1:27" ht="15" thickBot="1" x14ac:dyDescent="0.35">
      <c r="B24" s="243" t="s">
        <v>148</v>
      </c>
      <c r="C24" s="100" t="s">
        <v>150</v>
      </c>
      <c r="D24" s="62" t="s">
        <v>148</v>
      </c>
      <c r="E24" s="100" t="s">
        <v>150</v>
      </c>
      <c r="G24" s="722"/>
      <c r="L24" s="145" t="s">
        <v>300</v>
      </c>
      <c r="M24" s="152" t="s">
        <v>118</v>
      </c>
      <c r="N24" s="140" t="s">
        <v>119</v>
      </c>
      <c r="O24" s="83" t="s">
        <v>120</v>
      </c>
      <c r="P24" s="147" t="s">
        <v>0</v>
      </c>
      <c r="Q24" s="138" t="str">
        <f>$C$4</f>
        <v>AP</v>
      </c>
      <c r="R24" s="110" t="str">
        <f>$D$4</f>
        <v>AG</v>
      </c>
      <c r="S24" s="148" t="s">
        <v>170</v>
      </c>
      <c r="T24" s="1977"/>
      <c r="U24" s="2039"/>
      <c r="V24" s="1962"/>
      <c r="W24" s="1975"/>
      <c r="X24" s="2029"/>
      <c r="Y24" s="2031"/>
      <c r="Z24" s="1441"/>
    </row>
    <row r="25" spans="1:27" ht="15" thickBot="1" x14ac:dyDescent="0.35">
      <c r="A25" s="30" t="s">
        <v>415</v>
      </c>
      <c r="B25" s="244" t="s">
        <v>110</v>
      </c>
      <c r="C25" s="61" t="str">
        <f>IF(C24="Maand","Maandloon",IF(C24="4 Weken","4-Wekenloon",IF(C24="Anders","Anders","")))</f>
        <v>Maandloon</v>
      </c>
      <c r="D25" s="61" t="s">
        <v>1</v>
      </c>
      <c r="E25" s="61" t="str">
        <f>IF(E24="Maand","Maandloon",IF(E24="4 Weken","4-Wekenloon",IF(E24="Anders","Anders","")))</f>
        <v>Maandloon</v>
      </c>
      <c r="F25" s="61" t="s">
        <v>1</v>
      </c>
      <c r="G25" s="1982" t="s">
        <v>362</v>
      </c>
      <c r="H25" s="1983"/>
      <c r="I25" s="1983"/>
      <c r="J25" s="1984"/>
      <c r="L25" s="149">
        <v>1</v>
      </c>
      <c r="M25" s="150">
        <v>0</v>
      </c>
      <c r="N25" s="150">
        <v>20384</v>
      </c>
      <c r="O25" s="151">
        <v>0.1875</v>
      </c>
      <c r="P25" s="509">
        <f>O25*N25</f>
        <v>3822</v>
      </c>
      <c r="Q25" s="507">
        <f>IF(AND(C$5&lt;$N$23,C$10="Ja"),IF($N$3&gt;$N25,$N25*$O25,$N$3*$O25),"n.v.t")</f>
        <v>0</v>
      </c>
      <c r="R25" s="507">
        <f>IF(AND(D$5&lt;$N$23,D$10="Ja"),IF($R$3&gt;$N25,$N25*$O25,$R$3*$O25),"n.v.t")</f>
        <v>0</v>
      </c>
      <c r="S25" s="510" t="str">
        <f>CONCATENATE(L25,": ",M25," t/m ",N25," tarief: ",(O25*100),"% - Max. ",ROUND(P25,0))</f>
        <v>1: 0 t/m 20384 tarief: 18,75% - Max. 3822</v>
      </c>
      <c r="T25" s="509">
        <f>IF(AND(C$5&lt;$N$23,C$10="Ja"),IF($T$3&gt;$N25,$N25*$O25,$T$3*$O25),"n.v.t")</f>
        <v>0</v>
      </c>
      <c r="U25" s="1381">
        <f>IF(AND(D$5&lt;$N$23,D$10="Ja"),IF($U$3&gt;$N25,$N25*$O25,$U$3*$O25),"n.v.t")</f>
        <v>0</v>
      </c>
      <c r="V25" s="1388">
        <f>IF(AND(C$5&lt;$N$23,C$10="Ja"),IF($N$3-$V$4&gt;$N25,$N25*$O25,($N$3-$V$4)*$O25),"n.v.t")</f>
        <v>0</v>
      </c>
      <c r="W25" s="1387">
        <f>IF(AND(D$5&lt;$N$23,D$10="Ja"),IF($R$3+$W$4&gt;$N25,$N25*$O25,($R$3+$W$4)*$O25),"n.v.t")</f>
        <v>0</v>
      </c>
      <c r="X25" s="1392">
        <f>IF(AND(D$5&lt;$N$23,D$10="Ja"),IF($X$4&lt;=M25,0,IF($X$4&gt;N25-SUM(P$25:P25),N25-P25,$X$4)),"n.v.t")</f>
        <v>0</v>
      </c>
      <c r="Y25" s="1393">
        <f>IF(X25="n.v.t",X25,X25/(1-$O25))</f>
        <v>0</v>
      </c>
      <c r="Z25" s="1441"/>
    </row>
    <row r="26" spans="1:27" x14ac:dyDescent="0.3">
      <c r="A26" s="155"/>
      <c r="B26" s="380" t="s">
        <v>111</v>
      </c>
      <c r="C26" s="541">
        <v>0</v>
      </c>
      <c r="D26" s="752">
        <f>IF(C$24="Maand",C26*12,IF(C$24="4 Weken",C26*13,0))</f>
        <v>0</v>
      </c>
      <c r="E26" s="541">
        <v>0</v>
      </c>
      <c r="F26" s="752">
        <f>IF(E$24="Maand",E26*12,IF(E$24="4 Weken",E26*13,0))</f>
        <v>0</v>
      </c>
      <c r="G26" s="2111" t="s">
        <v>668</v>
      </c>
      <c r="H26" s="2112"/>
      <c r="I26" s="2112"/>
      <c r="J26" s="2113"/>
      <c r="L26" s="68">
        <v>2</v>
      </c>
      <c r="M26" s="482">
        <f>N25+1</f>
        <v>20385</v>
      </c>
      <c r="N26" s="69">
        <v>34817</v>
      </c>
      <c r="O26" s="70">
        <v>0.20200000000000001</v>
      </c>
      <c r="P26" s="511">
        <f>O26*(N26-N25)</f>
        <v>2915.4660000000003</v>
      </c>
      <c r="Q26" s="482">
        <f>IF(AND(C$5&lt;$N$23,C$10="Ja"),IF($N$3&lt;$M26,0,IF($N$3&gt;$N26,($N26-$N25)*$O26,($N$3-$N25)*$O26)),"n.v.t")</f>
        <v>0</v>
      </c>
      <c r="R26" s="482">
        <f>IF(AND(D$5&lt;$N$23,D$10="Ja"),IF($R$3&lt;$M26,0,IF($R$3&gt;$N26,($N26-$N25)*$O26,($R$3-$N25)*$O26)),"n.v.t")</f>
        <v>0</v>
      </c>
      <c r="S26" s="512" t="str">
        <f>CONCATENATE(L26,": ",M26," t/m ",N26," tarief: ",(O26*100),"% - Max. ",ROUND(P26,0))</f>
        <v>2: 20385 t/m 34817 tarief: 20,2% - Max. 2915</v>
      </c>
      <c r="T26" s="511">
        <f>IF(AND(C$5&lt;$N$23,C$10="Ja"),IF($T$3&lt;$M26,0,IF($T$3&gt;$N26,($N26-$N25)*$O26,($T$3-$N25)*$O26)),"n.v.t")</f>
        <v>0</v>
      </c>
      <c r="U26" s="1382">
        <f>IF(AND(D$5&lt;$N$23,D$10="Ja"),IF($U$3&lt;$M26,0,IF($U$3&gt;$N26,($N26-$N25)*$O26,($U$3-$N25)*$O26)),"n.v.t")</f>
        <v>0</v>
      </c>
      <c r="V26" s="1384">
        <f>IF(AND(C$5&lt;$N$23,C$10="Ja"),IF($N$3-$V$4&lt;$M26,0,IF($N$3-$V$4&gt;$N26,($N26-$N25)*$O26,($N$3-$V$4-$N25)*$O26)),"n.v.t")</f>
        <v>0</v>
      </c>
      <c r="W26" s="1382">
        <f>IF(AND(D$5&lt;$N$23,D$10="Ja"),IF($R$3+$W$4&lt;$M26,0,IF($R$3+$W$4&gt;$N26,($N26-$N25)*$O26,($R$3+$W$4-$N25)*$O26)),"n.v.t")</f>
        <v>0</v>
      </c>
      <c r="X26" s="1394">
        <f>IF(AND(D$5&lt;$N$23,D$10="Ja"),IF($X$4&lt;M26-SUM(P$25:P25),0,IF($X$4&gt;N26-SUM(P$25:P26),N26-M26-P26,$X$4-SUM(X$25:X25))),"n.v.t")</f>
        <v>0</v>
      </c>
      <c r="Y26" s="1395">
        <f>IF(X26="n.v.t",X26,X26/(1-$O26))</f>
        <v>0</v>
      </c>
      <c r="Z26" s="1441"/>
    </row>
    <row r="27" spans="1:27" x14ac:dyDescent="0.3">
      <c r="A27" s="154"/>
      <c r="B27" s="346" t="s">
        <v>112</v>
      </c>
      <c r="C27" s="82">
        <v>0</v>
      </c>
      <c r="D27" s="747">
        <f>IF(C$24="Maand",C27*12,IF(C$24="4 Weken",C27*13,0))</f>
        <v>0</v>
      </c>
      <c r="E27" s="82">
        <v>0</v>
      </c>
      <c r="F27" s="747">
        <f>IF(E$24="Maand",E27*12,IF(E$24="4 Weken",E27*13,0))</f>
        <v>0</v>
      </c>
      <c r="G27" s="1950" t="s">
        <v>668</v>
      </c>
      <c r="H27" s="1951"/>
      <c r="I27" s="1951"/>
      <c r="J27" s="1952"/>
      <c r="L27" s="68">
        <v>3</v>
      </c>
      <c r="M27" s="482">
        <f>N26+1</f>
        <v>34818</v>
      </c>
      <c r="N27" s="69">
        <v>68507</v>
      </c>
      <c r="O27" s="70">
        <v>0.38100000000000001</v>
      </c>
      <c r="P27" s="511">
        <f>O27*(N27-N26)</f>
        <v>12835.89</v>
      </c>
      <c r="Q27" s="482">
        <f>IF(AND(C$5&lt;$N$23,C$10="Ja"),IF($N$3&lt;$M27,0,IF($N$3&gt;$N27,($N27-$N26)*$O27,($N$3-$N26)*$O27)),"n.v.t")</f>
        <v>0</v>
      </c>
      <c r="R27" s="482">
        <f>IF(AND(D$5&lt;$N$23,D$10="Ja"),IF($R$3&lt;$M27,0,IF($R$3&gt;$N27,($N27-$N26)*$O27,($R$3-$N26)*$O27)),"n.v.t")</f>
        <v>0</v>
      </c>
      <c r="S27" s="512" t="str">
        <f>CONCATENATE(L27,": ",M27," t/m ",N27," tarief: ",(O27*100),"% - Max. ",ROUND(P27,0))</f>
        <v>3: 34818 t/m 68507 tarief: 38,1% - Max. 12836</v>
      </c>
      <c r="T27" s="511">
        <f>IF(AND(C$5&lt;$N$23,C$10="Ja"),IF($T$3&lt;$M27,0,IF($T$3&gt;$N27,($N27-$N26)*$O27,($T$3-$N26)*$O27)),"n.v.t")</f>
        <v>0</v>
      </c>
      <c r="U27" s="1382">
        <f>IF(AND(D$5&lt;$N$23,D$10="Ja"),IF($U$3&lt;$M27,0,IF($U$3&gt;$N27,($N27-$N26)*$O27,($U$3-$N26)*$O27)),"n.v.t")</f>
        <v>0</v>
      </c>
      <c r="V27" s="1384">
        <f>IF(AND(C$5&lt;$N$23,C$10="Ja"),IF($N$3-$V$4&lt;$M27,0,IF($N$3-$V$4&gt;$N27,($N27-$N26)*$O27,($N$3-$V$4-$N26)*$O27)),"n.v.t")</f>
        <v>0</v>
      </c>
      <c r="W27" s="1382">
        <f>IF(AND(D$5&lt;$N$23,D$10="Ja"),IF($R$3+$W$4&lt;$M27,0,IF($R$3+$W$4&gt;$N27,($N27-$N26)*$O27,($R$3+$W$4-$N26)*$O27)),"n.v.t")</f>
        <v>0</v>
      </c>
      <c r="X27" s="1394">
        <f>IF(AND(D$5&lt;$N$23,D$10="Ja"),IF($X$4&lt;M27-SUM(P$25:P26),0,IF($X$4&gt;N27-SUM(P$25:P27),N27-M27-P27,$X$4-SUM(X$25:X26))),"n.v.t")</f>
        <v>0</v>
      </c>
      <c r="Y27" s="1395">
        <f>IF(X27="n.v.t",X27,X27/(1-$O27))</f>
        <v>0</v>
      </c>
      <c r="Z27" s="1441"/>
    </row>
    <row r="28" spans="1:27" ht="15" thickBot="1" x14ac:dyDescent="0.35">
      <c r="A28" s="390"/>
      <c r="B28" s="381" t="s">
        <v>926</v>
      </c>
      <c r="C28" s="542">
        <v>0</v>
      </c>
      <c r="D28" s="748">
        <f>IF(C$24="Maand",C28*12,IF(C$24="4 Weken",C28*13,0))</f>
        <v>0</v>
      </c>
      <c r="E28" s="542">
        <v>0</v>
      </c>
      <c r="F28" s="748">
        <f>IF(E$24="Maand",E28*12,IF(E$24="4 Weken",E28*13,0))</f>
        <v>0</v>
      </c>
      <c r="G28" s="1950" t="s">
        <v>667</v>
      </c>
      <c r="H28" s="1951"/>
      <c r="I28" s="1951"/>
      <c r="J28" s="1952"/>
      <c r="L28" s="72">
        <v>4</v>
      </c>
      <c r="M28" s="508">
        <f>N27+1</f>
        <v>68508</v>
      </c>
      <c r="N28" s="73"/>
      <c r="O28" s="74">
        <v>0.51749999999999996</v>
      </c>
      <c r="P28" s="520">
        <f>IF(Q23&lt;M28,0,(Q23-Basisgegevens!N27)*Basisgegevens!O28)</f>
        <v>0</v>
      </c>
      <c r="Q28" s="508">
        <f>IF(AND(C$5&lt;$N$23,C$10="Ja"),IF($N$3&lt;$M28,0,($N$3-$N27)*$O28),"n.v.t")</f>
        <v>0</v>
      </c>
      <c r="R28" s="508">
        <f>IF(AND(D$5&lt;$N$23,D$10="Ja"),IF($R$3&lt;$M28,0,($R$3-$N27)*$O28),"n.v.t")</f>
        <v>0</v>
      </c>
      <c r="S28" s="513" t="str">
        <f>CONCATENATE(L28,": vanaf ",M28," tarief: ",(O28*100),"%")</f>
        <v>4: vanaf 68508 tarief: 51,75%</v>
      </c>
      <c r="T28" s="520">
        <f>IF(AND(C$5&lt;$N$23,C$10="Ja"),IF($T$3&lt;$M28,0,($T$3-$N27)*$O28),"n.v.t")</f>
        <v>0</v>
      </c>
      <c r="U28" s="1383">
        <f>IF(AND(D$5&lt;$N$23,D$10="Ja"),IF($U$3&lt;$M28,0,($U$3-$N27)*$O28),"n.v.t")</f>
        <v>0</v>
      </c>
      <c r="V28" s="1384">
        <f>IF(AND(C$5&lt;$N$23,C$10="Ja"),IF($N$3-$V$4&lt;$M28,0,($N$3-$V$4-$N27)*$O28),"n.v.t")</f>
        <v>0</v>
      </c>
      <c r="W28" s="1389">
        <f>IF(AND(D$5&lt;$N$23,D$10="Ja"),IF($R$3+$W$4&lt;$M28,0,($R$3+$W$4-$N27)*$O28),"n.v.t")</f>
        <v>0</v>
      </c>
      <c r="X28" s="1394">
        <f>IF(AND(D$5&lt;$N$23,D$10="Ja"),IF($X$4&lt;M28-SUM(P$25:P27),0,IF($X$4&gt;=M28-SUM(P$25:P27),$X$4-SUM(X$25:X27))),"n.v.t")</f>
        <v>0</v>
      </c>
      <c r="Y28" s="1397">
        <f>IF(X28="n.v.t",X28,X28/(1-$O28))</f>
        <v>0</v>
      </c>
      <c r="Z28" s="1441"/>
    </row>
    <row r="29" spans="1:27" ht="15" thickBot="1" x14ac:dyDescent="0.35">
      <c r="A29" s="384">
        <v>41</v>
      </c>
      <c r="B29" s="247" t="s">
        <v>551</v>
      </c>
      <c r="C29" s="134">
        <f>SUM(C26:C28)</f>
        <v>0</v>
      </c>
      <c r="D29" s="134">
        <f>SUM(D26:D28)</f>
        <v>0</v>
      </c>
      <c r="E29" s="134">
        <f>SUM(E26:E28)</f>
        <v>0</v>
      </c>
      <c r="F29" s="134">
        <f>SUM(F26:F28)</f>
        <v>0</v>
      </c>
      <c r="G29" s="1950"/>
      <c r="H29" s="1951"/>
      <c r="I29" s="1951"/>
      <c r="J29" s="1952"/>
      <c r="O29" s="1923" t="s">
        <v>320</v>
      </c>
      <c r="P29" s="1965"/>
      <c r="Q29" s="160">
        <f>SUM(Q25:Q28)</f>
        <v>0</v>
      </c>
      <c r="R29" s="161">
        <f>SUM(R25:R28)</f>
        <v>0</v>
      </c>
      <c r="S29" s="101"/>
      <c r="T29" s="1391">
        <f t="shared" ref="T29:Y29" si="5">SUM(T25:T28)</f>
        <v>0</v>
      </c>
      <c r="U29" s="1161">
        <f t="shared" si="5"/>
        <v>0</v>
      </c>
      <c r="V29" s="1391">
        <f t="shared" si="5"/>
        <v>0</v>
      </c>
      <c r="W29" s="1161">
        <f t="shared" si="5"/>
        <v>0</v>
      </c>
      <c r="X29" s="160">
        <f t="shared" si="5"/>
        <v>0</v>
      </c>
      <c r="Y29" s="161">
        <f t="shared" si="5"/>
        <v>0</v>
      </c>
      <c r="Z29" s="1441"/>
    </row>
    <row r="30" spans="1:27" x14ac:dyDescent="0.3">
      <c r="A30" s="659">
        <v>46</v>
      </c>
      <c r="B30" s="792" t="s">
        <v>578</v>
      </c>
      <c r="C30" s="541">
        <v>0</v>
      </c>
      <c r="D30" s="758">
        <f>IF(C$24="Maand",C30*12,IF(C$24="4 Weken",C30*13,0))</f>
        <v>0</v>
      </c>
      <c r="E30" s="541">
        <v>0</v>
      </c>
      <c r="F30" s="758">
        <f>IF(E$24="Maand",E30*12,IF(E$24="4 Weken",E30*13,0))</f>
        <v>0</v>
      </c>
      <c r="G30" s="1950" t="s">
        <v>666</v>
      </c>
      <c r="H30" s="1951"/>
      <c r="I30" s="1951"/>
      <c r="J30" s="1952"/>
      <c r="V30" s="1441"/>
      <c r="W30" s="1441"/>
      <c r="X30" s="2"/>
      <c r="Y30" s="1357"/>
      <c r="Z30" s="1441"/>
    </row>
    <row r="31" spans="1:27" ht="15" customHeight="1" x14ac:dyDescent="0.3">
      <c r="A31" s="659">
        <v>44</v>
      </c>
      <c r="B31" s="788" t="s">
        <v>552</v>
      </c>
      <c r="C31" s="789">
        <v>0.08</v>
      </c>
      <c r="D31" s="747">
        <f>C31*(D26+D27+D30)</f>
        <v>0</v>
      </c>
      <c r="E31" s="789">
        <v>0.08</v>
      </c>
      <c r="F31" s="747">
        <f>E31*(F26+F27+F30)</f>
        <v>0</v>
      </c>
      <c r="G31" s="1950"/>
      <c r="H31" s="1951"/>
      <c r="I31" s="1951"/>
      <c r="J31" s="1952"/>
      <c r="Z31" s="1441"/>
    </row>
    <row r="32" spans="1:27" x14ac:dyDescent="0.3">
      <c r="A32" s="659"/>
      <c r="B32" s="788" t="s">
        <v>925</v>
      </c>
      <c r="C32" s="216" t="s">
        <v>165</v>
      </c>
      <c r="D32" s="1843"/>
      <c r="E32" s="216" t="s">
        <v>165</v>
      </c>
      <c r="F32" s="1843"/>
      <c r="G32" s="1950"/>
      <c r="H32" s="1951"/>
      <c r="I32" s="1951"/>
      <c r="J32" s="1952"/>
      <c r="Z32" s="1441"/>
    </row>
    <row r="33" spans="1:27" x14ac:dyDescent="0.3">
      <c r="A33" s="658">
        <v>47</v>
      </c>
      <c r="B33" s="788" t="s">
        <v>90</v>
      </c>
      <c r="C33" s="82">
        <v>0</v>
      </c>
      <c r="D33" s="528">
        <f>IF(C$24="Anders",0,C33)</f>
        <v>0</v>
      </c>
      <c r="E33" s="82">
        <v>0</v>
      </c>
      <c r="F33" s="528">
        <f>IF(E$24="Anders",0,E33)</f>
        <v>0</v>
      </c>
      <c r="G33" s="1950"/>
      <c r="H33" s="1951"/>
      <c r="I33" s="1951"/>
      <c r="J33" s="1952"/>
      <c r="Z33" s="1441"/>
    </row>
    <row r="34" spans="1:27" s="1842" customFormat="1" ht="15" thickBot="1" x14ac:dyDescent="0.35">
      <c r="A34" s="757">
        <v>48</v>
      </c>
      <c r="B34" s="790" t="s">
        <v>553</v>
      </c>
      <c r="C34" s="791">
        <v>0</v>
      </c>
      <c r="D34" s="748">
        <f>IF(C32="Ja",(D26+D31)*C34,D26*C34)</f>
        <v>0</v>
      </c>
      <c r="E34" s="791">
        <v>0</v>
      </c>
      <c r="F34" s="748">
        <f>IF(E32="Ja",(F26+F31)*E34,F26*E34)</f>
        <v>0</v>
      </c>
      <c r="G34" s="1953"/>
      <c r="H34" s="1954"/>
      <c r="I34" s="1954"/>
      <c r="J34" s="1955"/>
      <c r="M34" s="54"/>
      <c r="N34" s="54"/>
      <c r="O34" s="54"/>
      <c r="P34" s="54"/>
      <c r="Q34" s="54"/>
      <c r="R34" s="54"/>
    </row>
    <row r="35" spans="1:27" ht="15" thickBot="1" x14ac:dyDescent="0.35">
      <c r="A35" s="384"/>
      <c r="B35" s="247" t="s">
        <v>2</v>
      </c>
      <c r="C35" s="134"/>
      <c r="D35" s="134">
        <f>SUM(D29:D34)</f>
        <v>0</v>
      </c>
      <c r="E35" s="134"/>
      <c r="F35" s="134">
        <f>SUM(F29:F34)</f>
        <v>0</v>
      </c>
      <c r="H35" s="1842"/>
      <c r="I35" s="1842"/>
      <c r="J35" s="1842"/>
      <c r="L35" s="63" t="s">
        <v>735</v>
      </c>
      <c r="N35" s="2"/>
      <c r="P35" s="64" t="s">
        <v>166</v>
      </c>
      <c r="S35" s="65"/>
      <c r="V35" s="1441"/>
      <c r="W35" s="1441"/>
      <c r="X35" s="2"/>
      <c r="Y35" s="1357"/>
      <c r="Z35" s="1441"/>
    </row>
    <row r="36" spans="1:27" ht="15" thickBot="1" x14ac:dyDescent="0.35">
      <c r="M36" s="526" t="s">
        <v>694</v>
      </c>
      <c r="N36" s="819">
        <f>N23</f>
        <v>16803</v>
      </c>
      <c r="O36" s="818" t="s">
        <v>322</v>
      </c>
      <c r="P36" s="527">
        <v>19360</v>
      </c>
      <c r="S36" s="139"/>
      <c r="T36" s="1976" t="s">
        <v>441</v>
      </c>
      <c r="U36" s="2038" t="s">
        <v>441</v>
      </c>
      <c r="V36" s="1961" t="s">
        <v>782</v>
      </c>
      <c r="W36" s="1974" t="s">
        <v>783</v>
      </c>
      <c r="X36" s="2028" t="s">
        <v>782</v>
      </c>
      <c r="Y36" s="2030" t="s">
        <v>783</v>
      </c>
      <c r="Z36" s="1441"/>
    </row>
    <row r="37" spans="1:27" ht="15" thickBot="1" x14ac:dyDescent="0.35">
      <c r="A37" s="379">
        <v>45</v>
      </c>
      <c r="B37" s="1203" t="s">
        <v>724</v>
      </c>
      <c r="D37" s="102"/>
      <c r="F37" s="1178"/>
      <c r="G37" s="1178"/>
      <c r="H37" s="1178"/>
      <c r="I37" s="1178"/>
      <c r="J37" s="1178"/>
      <c r="L37" s="145" t="s">
        <v>300</v>
      </c>
      <c r="M37" s="152" t="s">
        <v>118</v>
      </c>
      <c r="N37" s="140" t="s">
        <v>119</v>
      </c>
      <c r="O37" s="140" t="s">
        <v>120</v>
      </c>
      <c r="P37" s="153" t="s">
        <v>0</v>
      </c>
      <c r="Q37" s="138" t="str">
        <f>$C$4</f>
        <v>AP</v>
      </c>
      <c r="R37" s="110" t="str">
        <f>$D$4</f>
        <v>AG</v>
      </c>
      <c r="S37" s="148" t="s">
        <v>170</v>
      </c>
      <c r="T37" s="1977"/>
      <c r="U37" s="2039"/>
      <c r="V37" s="1962"/>
      <c r="W37" s="1975"/>
      <c r="X37" s="2029"/>
      <c r="Y37" s="2031"/>
      <c r="Z37" s="1441"/>
    </row>
    <row r="38" spans="1:27" ht="15" thickBot="1" x14ac:dyDescent="0.35">
      <c r="A38" s="99" t="s">
        <v>415</v>
      </c>
      <c r="B38" s="345" t="s">
        <v>110</v>
      </c>
      <c r="C38" s="1176" t="str">
        <f>$C$4</f>
        <v>AP</v>
      </c>
      <c r="D38" s="138" t="s">
        <v>1</v>
      </c>
      <c r="E38" s="138" t="str">
        <f>$D$4</f>
        <v>AG</v>
      </c>
      <c r="F38" s="138" t="s">
        <v>1</v>
      </c>
      <c r="G38" s="1948" t="s">
        <v>362</v>
      </c>
      <c r="H38" s="1992"/>
      <c r="I38" s="1992"/>
      <c r="J38" s="2086"/>
      <c r="L38" s="149">
        <v>1</v>
      </c>
      <c r="M38" s="150">
        <v>0</v>
      </c>
      <c r="N38" s="150">
        <v>20384</v>
      </c>
      <c r="O38" s="151">
        <v>0.1875</v>
      </c>
      <c r="P38" s="509">
        <f>O38*N38</f>
        <v>3822</v>
      </c>
      <c r="Q38" s="507" t="str">
        <f>IF(AND(C$5&gt;=$N$36,C$5&lt;$P$36,C$10="Ja"),IF($N$3&gt;$N38,$N38*$O38,$N$3*$O38),"n.v.t")</f>
        <v>n.v.t</v>
      </c>
      <c r="R38" s="507" t="str">
        <f>IF(AND(D$5&gt;=$N$36,D$5&lt;$P$36,D$10="Ja"),IF($R$3&gt;$N38,$N38*$O38,$R$3*$O38),"n.v.t")</f>
        <v>n.v.t</v>
      </c>
      <c r="S38" s="514" t="str">
        <f>CONCATENATE(L38,": ",M38," t/m ",N38," tarief: ",(O38*100),"% - Max. ",ROUND(P38,0))</f>
        <v>1: 0 t/m 20384 tarief: 18,75% - Max. 3822</v>
      </c>
      <c r="T38" s="509" t="str">
        <f>IF(AND(C$5&gt;=$N$36,C$5&lt;$P$36,C$10="Ja"),IF($T$3&gt;$N38,$N38*$O38,$T$3*$O38),"n.v.t")</f>
        <v>n.v.t</v>
      </c>
      <c r="U38" s="1381" t="str">
        <f>IF(AND(D$5&gt;=$N$36,D$5&lt;$P$36,D$10="Ja"),IF($U$3&gt;$N38,$N38*$O38,$U$3*$O38),"n.v.t")</f>
        <v>n.v.t</v>
      </c>
      <c r="V38" s="1388" t="str">
        <f>IF(AND(C$5&gt;=$N$36,C$5&lt;$P$36,C$10="Ja"),IF($N$3-$V$4&gt;$N38,$N38*$O38,($N$3-$V$4)*$O38),"n.v.t")</f>
        <v>n.v.t</v>
      </c>
      <c r="W38" s="1387" t="str">
        <f>IF(AND(D$5&gt;=$N$36,D$5&lt;$P$36,D$10="Ja"),IF($R$3+$W$4&gt;$N38,$N38*$O38,($R$3+$W$4)*$O38),"n.v.t")</f>
        <v>n.v.t</v>
      </c>
      <c r="X38" s="1392" t="str">
        <f>IF(AND(D$5&gt;=$N$36,D$5&lt;=$P$36,D$10="Ja"),IF($X$4&lt;M38,0,IF($X$4&gt;N38-SUM(P$38:P38),N38-P38,$X$4)),"n.v.t")</f>
        <v>n.v.t</v>
      </c>
      <c r="Y38" s="1393" t="str">
        <f>IF(X38="n.v.t",X38,X38/(1-$O38))</f>
        <v>n.v.t</v>
      </c>
      <c r="Z38" s="1441"/>
    </row>
    <row r="39" spans="1:27" x14ac:dyDescent="0.3">
      <c r="A39" s="154"/>
      <c r="B39" s="346" t="s">
        <v>719</v>
      </c>
      <c r="C39" s="82">
        <v>0</v>
      </c>
      <c r="D39" s="1200"/>
      <c r="E39" s="82">
        <v>0</v>
      </c>
      <c r="F39" s="1200"/>
      <c r="G39" s="2089" t="s">
        <v>722</v>
      </c>
      <c r="H39" s="2089"/>
      <c r="I39" s="2089"/>
      <c r="J39" s="2090"/>
      <c r="L39" s="68">
        <v>2</v>
      </c>
      <c r="M39" s="482">
        <f>N38+1</f>
        <v>20385</v>
      </c>
      <c r="N39" s="69">
        <v>34300</v>
      </c>
      <c r="O39" s="70">
        <v>0.20200000000000001</v>
      </c>
      <c r="P39" s="511">
        <f>O39*(N39-N38)</f>
        <v>2811.0320000000002</v>
      </c>
      <c r="Q39" s="482" t="str">
        <f>IF(AND(C$5&gt;=$N$36,C$5&lt;$P$36,C$10="Ja"),IF($N$3&lt;$M39,0,IF($N$3&gt;$N39,($N39-$N38)*$O39,($N$3-$N38)*$O39)),"n.v.t")</f>
        <v>n.v.t</v>
      </c>
      <c r="R39" s="482" t="str">
        <f>IF(AND(D$5&gt;=$N$36,D$5&lt;$P$36,D$10="Ja"),IF($R$3&lt;$M39,0,IF($R$3&gt;$N39,($N39-$N38)*$O39,($R$3-$N38)*$O39)),"n.v.t")</f>
        <v>n.v.t</v>
      </c>
      <c r="S39" s="515" t="str">
        <f>CONCATENATE(L39,": ",M39," t/m ",N39," tarief: ",(O39*100),"% - Max. ",ROUND(P39,0))</f>
        <v>2: 20385 t/m 34300 tarief: 20,2% - Max. 2811</v>
      </c>
      <c r="T39" s="511" t="str">
        <f>IF(AND(C$5&gt;=$N$36,C$5&lt;$P$36,C$10="Ja"),IF($T$3&lt;$M39,0,IF($T$3&gt;$N39,($N39-$N38)*$O39,($T$3-$N38)*$O39)),"n.v.t")</f>
        <v>n.v.t</v>
      </c>
      <c r="U39" s="1382" t="str">
        <f>IF(AND(D$5&gt;=$N$36,D$5&lt;$P$36,D$10="Ja"),IF($U$3&lt;$M39,0,IF($U$3&gt;$N39,($N39-$N38)*$O39,($U$3-$N38)*$O39)),"n.v.t")</f>
        <v>n.v.t</v>
      </c>
      <c r="V39" s="1384" t="str">
        <f>IF(AND(C$5&gt;=$N$36,C$5&lt;$P$36,C$10="Ja"),IF($N$3-$V$4&lt;$M39,0,IF($N$3-$V$4&gt;$N39,($N39-$N38)*$O39,($N$3-$V$4-$N38)*$O39)),"n.v.t")</f>
        <v>n.v.t</v>
      </c>
      <c r="W39" s="1382" t="str">
        <f>IF(AND(D$5&gt;=$N$36,D$5&lt;$P$36,D$10="Ja"),IF($R$3+$W$4&lt;$M39,0,IF($R$3+$W$4&gt;$N39,($N39-$N38)*$O39,($R$3+$W$4-$N38)*$O39)),"n.v.t")</f>
        <v>n.v.t</v>
      </c>
      <c r="X39" s="1394" t="str">
        <f>IF(AND(D$5&gt;=$N$36,D$5&lt;$P$36,D$10="Ja"),IF($X$4&lt;M39-SUM(P$38:P38),0,IF($X$4&gt;N39-SUM(P$38:P39),N39-M39-P39,$X$4-SUM(X$38:X38))),"n.v.t")</f>
        <v>n.v.t</v>
      </c>
      <c r="Y39" s="1395" t="str">
        <f>IF(X39="n.v.t",X39,X39/(1-$O39))</f>
        <v>n.v.t</v>
      </c>
      <c r="Z39" s="1441"/>
    </row>
    <row r="40" spans="1:27" s="270" customFormat="1" ht="15" thickBot="1" x14ac:dyDescent="0.35">
      <c r="A40" s="1214"/>
      <c r="B40" s="1215" t="s">
        <v>720</v>
      </c>
      <c r="C40" s="542">
        <v>0</v>
      </c>
      <c r="D40" s="1217"/>
      <c r="E40" s="542">
        <v>0</v>
      </c>
      <c r="F40" s="1217"/>
      <c r="G40" s="2089"/>
      <c r="H40" s="2089"/>
      <c r="I40" s="2089"/>
      <c r="J40" s="2090"/>
      <c r="L40" s="68">
        <v>3</v>
      </c>
      <c r="M40" s="482">
        <f>N39+1</f>
        <v>34301</v>
      </c>
      <c r="N40" s="69">
        <v>68507</v>
      </c>
      <c r="O40" s="70">
        <v>0.38100000000000001</v>
      </c>
      <c r="P40" s="511">
        <f>O40*(N40-N39)</f>
        <v>13032.867</v>
      </c>
      <c r="Q40" s="482" t="str">
        <f>IF(AND(C$5&gt;=$N$36,C$5&lt;$P$36,C$10="Ja"),IF($N$3&lt;$M40,0,IF($N$3&gt;$N40,($N40-$N39)*$O40,($N$3-$N39)*$O40)),"n.v.t")</f>
        <v>n.v.t</v>
      </c>
      <c r="R40" s="482" t="str">
        <f>IF(AND(D$5&gt;=$N$36,D$5&lt;$P$36,D$10="Ja"),IF($R$3&lt;$M40,0,IF($R$3&gt;$N40,($N40-$N39)*$O40,($R$3-$N39)*$O40)),"n.v.t")</f>
        <v>n.v.t</v>
      </c>
      <c r="S40" s="515" t="str">
        <f>CONCATENATE(L40,": ",M40," t/m ",N40," tarief: ",(O40*100),"% - Max. ",ROUND(P40,0))</f>
        <v>3: 34301 t/m 68507 tarief: 38,1% - Max. 13033</v>
      </c>
      <c r="T40" s="511" t="str">
        <f>IF(AND(C$5&gt;=$N$36,C$5&lt;$P$36,C$10="Ja"),IF($T$3&lt;$M40,0,IF($T$3&gt;$N40,($N40-$N39)*$O40,($T$3-$N39)*$O40)),"n.v.t")</f>
        <v>n.v.t</v>
      </c>
      <c r="U40" s="1382" t="str">
        <f>IF(AND(D$5&gt;=$N$36,D$5&lt;$P$36,D$10="Ja"),IF($U$3&lt;$M40,0,IF($U$3&gt;$N40,($N40-$N39)*$O40,($U$3-$N39)*$O40)),"n.v.t")</f>
        <v>n.v.t</v>
      </c>
      <c r="V40" s="1384" t="str">
        <f>IF(AND(C$5&gt;=$N$36,C$5&lt;$P$36,C$10="Ja"),IF($N$3-$V$4&lt;$M40,0,IF($N$3-$V$4&gt;$N40,($N40-$N39)*$O40,($N$3-$V$4-$N39)*$O40)),"n.v.t")</f>
        <v>n.v.t</v>
      </c>
      <c r="W40" s="1382" t="str">
        <f>IF(AND(D$5&gt;=$N$36,D$5&lt;$P$36,D$10="Ja"),IF($R$3+$W$4&lt;$M40,0,IF($R$3+$W$4&gt;$N40,($N40-$N39)*$O40,($R$3+$W$4-$N39)*$O40)),"n.v.t")</f>
        <v>n.v.t</v>
      </c>
      <c r="X40" s="1394" t="str">
        <f>IF(AND(D$5&gt;=$N$36,D$5&lt;$P$36,D$10="Ja"),IF($X$4&lt;M40-SUM(P$38:P39),0,IF($X$4&gt;N40-SUM(P$38:P40),N40-M40-P40,$X$4-SUM(X$38:X39))),"n.v.t")</f>
        <v>n.v.t</v>
      </c>
      <c r="Y40" s="1395" t="str">
        <f>IF(X40="n.v.t",X40,X40/(1-$O40))</f>
        <v>n.v.t</v>
      </c>
      <c r="Z40" s="1441"/>
    </row>
    <row r="41" spans="1:27" s="270" customFormat="1" ht="15" thickBot="1" x14ac:dyDescent="0.35">
      <c r="A41" s="384">
        <v>45</v>
      </c>
      <c r="B41" s="247" t="s">
        <v>718</v>
      </c>
      <c r="C41" s="134">
        <f>SUM(C39:C40)</f>
        <v>0</v>
      </c>
      <c r="D41" s="134">
        <f>46*C41</f>
        <v>0</v>
      </c>
      <c r="E41" s="134">
        <f t="shared" ref="E41" si="6">SUM(E39:E40)</f>
        <v>0</v>
      </c>
      <c r="F41" s="134">
        <f>46*E41</f>
        <v>0</v>
      </c>
      <c r="G41" s="2091"/>
      <c r="H41" s="2091"/>
      <c r="I41" s="2091"/>
      <c r="J41" s="2092"/>
      <c r="L41" s="72">
        <v>4</v>
      </c>
      <c r="M41" s="508">
        <f>N40+1</f>
        <v>68508</v>
      </c>
      <c r="N41" s="73"/>
      <c r="O41" s="74">
        <v>0.51749999999999996</v>
      </c>
      <c r="P41" s="520">
        <f>IF(Q36&lt;M41,0,(Q36-Basisgegevens!N40)*Basisgegevens!O41)</f>
        <v>0</v>
      </c>
      <c r="Q41" s="508" t="str">
        <f>IF(AND(C$5&gt;=$N$36,C$5&lt;$P$36,C$10="Ja"),IF($N$3&lt;$M41,0,($N$3-$N40)*$O41),"n.v.t")</f>
        <v>n.v.t</v>
      </c>
      <c r="R41" s="508" t="str">
        <f>IF(AND(D$5&gt;=$N$36,D$5&lt;$P$36,D$10="Ja"),IF($R$3&lt;$M41,0,($R$3-$N40)*$O41),"n.v.t")</f>
        <v>n.v.t</v>
      </c>
      <c r="S41" s="516" t="str">
        <f>CONCATENATE(L41,": vanaf ",M41," tarief: ",(O41*100),"%")</f>
        <v>4: vanaf 68508 tarief: 51,75%</v>
      </c>
      <c r="T41" s="520" t="str">
        <f>IF(AND(C$5&gt;=$N$36,C$5&lt;$P$36,C$10="Ja"),IF($T$3&lt;$M41,0,($T$3-$N40)*$O41),"n.v.t")</f>
        <v>n.v.t</v>
      </c>
      <c r="U41" s="1383" t="str">
        <f>IF(AND(D$5&gt;=$N$36,D$5&lt;$P$36,D$10="Ja"),IF($U$3&lt;$M41,0,($U$3-$N40)*$O41),"n.v.t")</f>
        <v>n.v.t</v>
      </c>
      <c r="V41" s="1384" t="str">
        <f>IF(AND(C$5&gt;=$N$36,C$5&lt;$P$36,C$10="Ja"),IF($N$3-$V$4&lt;$M41,0,($N$3-$V$4-$N40)*$O41),"n.v.t")</f>
        <v>n.v.t</v>
      </c>
      <c r="W41" s="1389" t="str">
        <f>IF(AND(D$5&gt;=$N$36,D$5&lt;$P$36,D$10="Ja"),IF($R$3+$W$4&lt;$M41,0,($R$3+$W$4-$N40)*$O41),"n.v.t")</f>
        <v>n.v.t</v>
      </c>
      <c r="X41" s="1394" t="str">
        <f>IF(AND(D$5&gt;=$N$36,D$5&lt;$P$36,D$10="Ja"),IF($X$4&lt;M41-SUM(P$38:P40),0,IF($X$4&gt;=M41-SUM(P$38:P40),$X$4-SUM(X$38:X40))),"n.v.t")</f>
        <v>n.v.t</v>
      </c>
      <c r="Y41" s="1397" t="str">
        <f>IF(X41="n.v.t",X41,X41/(1-$O41))</f>
        <v>n.v.t</v>
      </c>
    </row>
    <row r="42" spans="1:27" ht="16.2" thickBot="1" x14ac:dyDescent="0.35">
      <c r="A42" s="749"/>
      <c r="B42" s="1218" t="s">
        <v>721</v>
      </c>
      <c r="C42" s="2136"/>
      <c r="D42" s="1992"/>
      <c r="E42" s="1992"/>
      <c r="F42" s="1992"/>
      <c r="G42" s="1992"/>
      <c r="H42" s="1992"/>
      <c r="I42" s="1992"/>
      <c r="J42" s="2086"/>
      <c r="O42" s="1923" t="s">
        <v>320</v>
      </c>
      <c r="P42" s="1965"/>
      <c r="Q42" s="160">
        <f>SUM(Q38:Q41)</f>
        <v>0</v>
      </c>
      <c r="R42" s="161">
        <f>SUM(R38:R41)</f>
        <v>0</v>
      </c>
      <c r="T42" s="1391">
        <f t="shared" ref="T42:Y42" si="7">SUM(T38:T41)</f>
        <v>0</v>
      </c>
      <c r="U42" s="1161">
        <f t="shared" si="7"/>
        <v>0</v>
      </c>
      <c r="V42" s="1391">
        <f t="shared" si="7"/>
        <v>0</v>
      </c>
      <c r="W42" s="1161">
        <f t="shared" si="7"/>
        <v>0</v>
      </c>
      <c r="X42" s="160">
        <f t="shared" si="7"/>
        <v>0</v>
      </c>
      <c r="Y42" s="161">
        <f t="shared" si="7"/>
        <v>0</v>
      </c>
      <c r="Z42" s="1441"/>
      <c r="AA42" s="270"/>
    </row>
    <row r="43" spans="1:27" s="1475" customFormat="1" ht="15" thickBot="1" x14ac:dyDescent="0.35">
      <c r="A43" s="384">
        <v>45</v>
      </c>
      <c r="B43" s="247" t="s">
        <v>718</v>
      </c>
      <c r="C43" s="1216"/>
      <c r="D43" s="1202">
        <v>0</v>
      </c>
      <c r="E43" s="1201"/>
      <c r="F43" s="1202">
        <v>0</v>
      </c>
      <c r="G43" s="1981" t="s">
        <v>723</v>
      </c>
      <c r="H43" s="1992"/>
      <c r="I43" s="1992"/>
      <c r="J43" s="2086"/>
      <c r="M43" s="54"/>
      <c r="N43" s="54"/>
      <c r="O43" s="54"/>
      <c r="P43" s="54"/>
      <c r="Q43" s="54"/>
      <c r="R43" s="54"/>
      <c r="S43" s="54"/>
      <c r="T43" s="54"/>
      <c r="U43" s="54"/>
      <c r="V43" s="54"/>
      <c r="W43" s="54"/>
      <c r="X43" s="54"/>
      <c r="Y43" s="54"/>
      <c r="Z43" s="54"/>
    </row>
    <row r="44" spans="1:27" ht="15" thickBot="1" x14ac:dyDescent="0.35">
      <c r="A44" s="369"/>
      <c r="B44" s="369"/>
      <c r="C44" s="369"/>
      <c r="D44" s="369"/>
      <c r="E44" s="369"/>
      <c r="F44" s="369"/>
      <c r="G44" s="369"/>
      <c r="H44" s="369"/>
      <c r="I44" s="369"/>
      <c r="J44" s="369"/>
      <c r="M44" s="2"/>
      <c r="N44" s="2"/>
      <c r="O44" s="139"/>
      <c r="P44" s="139"/>
      <c r="Q44" s="139"/>
      <c r="R44" s="139"/>
      <c r="S44" s="139"/>
      <c r="T44" s="2038" t="s">
        <v>441</v>
      </c>
      <c r="U44" s="2038" t="s">
        <v>441</v>
      </c>
      <c r="V44" s="2028" t="s">
        <v>782</v>
      </c>
      <c r="W44" s="2030" t="s">
        <v>783</v>
      </c>
      <c r="X44" s="2028" t="s">
        <v>782</v>
      </c>
      <c r="Y44" s="2030" t="s">
        <v>783</v>
      </c>
      <c r="Z44" s="1357"/>
    </row>
    <row r="45" spans="1:27" s="1475" customFormat="1" ht="15" thickBot="1" x14ac:dyDescent="0.35">
      <c r="A45" s="379">
        <v>42</v>
      </c>
      <c r="B45" s="240" t="s">
        <v>680</v>
      </c>
      <c r="C45" s="144" t="str">
        <f>$C$4</f>
        <v>AP</v>
      </c>
      <c r="D45" s="102"/>
      <c r="E45" s="61" t="str">
        <f>$D$4</f>
        <v>AG</v>
      </c>
      <c r="F45" s="1504"/>
      <c r="G45" s="1504"/>
      <c r="H45" s="1504"/>
      <c r="I45" s="1504"/>
      <c r="J45" s="1504"/>
      <c r="L45" s="63" t="s">
        <v>323</v>
      </c>
      <c r="M45" s="54"/>
      <c r="N45" s="2"/>
      <c r="O45" s="54"/>
      <c r="P45" s="64" t="s">
        <v>166</v>
      </c>
      <c r="Q45" s="54"/>
      <c r="R45" s="139"/>
      <c r="S45" s="139"/>
      <c r="T45" s="2022"/>
      <c r="U45" s="2022"/>
      <c r="V45" s="2032"/>
      <c r="W45" s="2033"/>
      <c r="X45" s="2032"/>
      <c r="Y45" s="2033"/>
    </row>
    <row r="46" spans="1:27" s="270" customFormat="1" ht="15" thickBot="1" x14ac:dyDescent="0.35">
      <c r="A46" s="54"/>
      <c r="B46" s="652" t="s">
        <v>243</v>
      </c>
      <c r="C46" s="100" t="s">
        <v>150</v>
      </c>
      <c r="D46" s="795" t="s">
        <v>243</v>
      </c>
      <c r="E46" s="100" t="s">
        <v>150</v>
      </c>
      <c r="F46" s="1504"/>
      <c r="G46" s="1504"/>
      <c r="H46" s="1504"/>
      <c r="I46" s="1504"/>
      <c r="J46" s="1504"/>
      <c r="L46" s="5" t="s">
        <v>300</v>
      </c>
      <c r="M46" s="585" t="s">
        <v>118</v>
      </c>
      <c r="N46" s="6" t="s">
        <v>119</v>
      </c>
      <c r="O46" s="6" t="s">
        <v>120</v>
      </c>
      <c r="P46" s="602" t="s">
        <v>0</v>
      </c>
      <c r="Q46" s="61" t="str">
        <f>$C$4</f>
        <v>AP</v>
      </c>
      <c r="R46" s="156" t="str">
        <f>$D$4</f>
        <v>AG</v>
      </c>
      <c r="S46" s="820" t="s">
        <v>170</v>
      </c>
      <c r="T46" s="2039"/>
      <c r="U46" s="2039"/>
      <c r="V46" s="2029"/>
      <c r="W46" s="2031"/>
      <c r="X46" s="2029"/>
      <c r="Y46" s="2031"/>
      <c r="Z46" s="99" t="s">
        <v>150</v>
      </c>
      <c r="AA46" s="1441"/>
    </row>
    <row r="47" spans="1:27" s="270" customFormat="1" ht="15" thickBot="1" x14ac:dyDescent="0.35">
      <c r="A47" s="30" t="s">
        <v>415</v>
      </c>
      <c r="B47" s="244" t="s">
        <v>110</v>
      </c>
      <c r="C47" s="61" t="str">
        <f>IF(C46="Maand","Per Maand",IF(C46="4 Weken","Per 4-weken",IF(C46="Anders","Anders","")))</f>
        <v>Per Maand</v>
      </c>
      <c r="D47" s="1503" t="s">
        <v>582</v>
      </c>
      <c r="E47" s="61" t="str">
        <f>IF(E46="Maand","Per Maand",IF(E46="4 Weken","Per 4-weken",IF(E46="Anders","Anders","")))</f>
        <v>Per Maand</v>
      </c>
      <c r="F47" s="156" t="s">
        <v>582</v>
      </c>
      <c r="G47" s="1947" t="s">
        <v>362</v>
      </c>
      <c r="H47" s="1948"/>
      <c r="I47" s="1948"/>
      <c r="J47" s="1949"/>
      <c r="L47" s="149">
        <v>1</v>
      </c>
      <c r="M47" s="150">
        <v>0</v>
      </c>
      <c r="N47" s="150">
        <v>20384</v>
      </c>
      <c r="O47" s="151">
        <v>0.1875</v>
      </c>
      <c r="P47" s="507">
        <f>O47*N47</f>
        <v>3822</v>
      </c>
      <c r="Q47" s="507" t="str">
        <f t="shared" ref="Q47:Q58" si="8">IF(AND(C$10="Ja",YEAR(C$9)=$C$16,MONTH(C$9)=$Z47),IF($N$3&gt;$N47,$N47*$O47,$N$3*$O47),"n.v.t")</f>
        <v>n.v.t</v>
      </c>
      <c r="R47" s="507" t="str">
        <f t="shared" ref="R47:R58" si="9">IF(AND(D$10="Ja",YEAR(D$9)=$C$16,MONTH(D$9)=$Z47),IF($N$3&gt;$N47,$N47*$O47,$N$3*$O47),"n.v.t")</f>
        <v>n.v.t</v>
      </c>
      <c r="S47" s="517" t="str">
        <f t="shared" ref="S47:S60" si="10">CONCATENATE(L47,": ",M47," t/m ",N47," tarief: ",(O47*100),"% - Max. ",ROUND(P47,0))</f>
        <v>1: 0 t/m 20384 tarief: 18,75% - Max. 3822</v>
      </c>
      <c r="T47" s="507" t="str">
        <f t="shared" ref="T47:T58" si="11">IF(AND(C$10="Ja",YEAR(C$9)=$C$16,MONTH(C$9)=$Z47),IF($T$3&gt;$N47,$N47*$O47,$T$3*$O47),"n.v.t")</f>
        <v>n.v.t</v>
      </c>
      <c r="U47" s="507" t="str">
        <f t="shared" ref="U47:U58" si="12">IF(AND(D$10="Ja",YEAR(D$9)=$C$16,MONTH(D$9)=$Z47),IF($U$3&gt;$N47,$N47*$O47,$U$3*$O47),"n.v.t")</f>
        <v>n.v.t</v>
      </c>
      <c r="V47" s="1405" t="str">
        <f t="shared" ref="V47:V58" si="13">IF(AND(C$10="Ja",YEAR(C$9)=$C$16,MONTH(C$9)=$Z47),IF($V$4&gt;$N47,$N47*$O47,$V$4*$O47),"n.v.t")</f>
        <v>n.v.t</v>
      </c>
      <c r="W47" s="1406" t="str">
        <f t="shared" ref="W47:W58" si="14">IF(AND(D$10="Ja",YEAR(D$9)=$C$16,MONTH(D$9)=$Z47),IF($W$4&gt;$N47,$N47*$O47,$W$4*$O47),"n.v.t")</f>
        <v>n.v.t</v>
      </c>
      <c r="X47" s="1405" t="str">
        <f t="shared" ref="X47:X58" si="15">IF(AND(D$10="Ja",YEAR(D$9)=$C$16,MONTH(D$9)=$Z47),IF($X$4&lt;=M47,0,IF($X$4&gt;N47-P47,N47-P47,$X$4)),"n.v.t")</f>
        <v>n.v.t</v>
      </c>
      <c r="Y47" s="1406" t="str">
        <f t="shared" ref="Y47:Y72" si="16">IF(X47="n.v.t",X47,X47/(1-$O47))</f>
        <v>n.v.t</v>
      </c>
      <c r="Z47" s="67">
        <v>1</v>
      </c>
    </row>
    <row r="48" spans="1:27" x14ac:dyDescent="0.3">
      <c r="A48" s="800"/>
      <c r="B48" s="245" t="s">
        <v>244</v>
      </c>
      <c r="C48" s="214">
        <v>0</v>
      </c>
      <c r="D48" s="107">
        <f>IF(C$24="Maand",C48*12,IF(C$24="4 Weken",C48*13,0))</f>
        <v>0</v>
      </c>
      <c r="E48" s="214">
        <v>0</v>
      </c>
      <c r="F48" s="107">
        <f>IF(E$24="Maand",E48*12,IF(E$24="4 Weken",E48*13,0))</f>
        <v>0</v>
      </c>
      <c r="G48" s="2093" t="s">
        <v>697</v>
      </c>
      <c r="H48" s="1986"/>
      <c r="I48" s="1986"/>
      <c r="J48" s="1987"/>
      <c r="L48" s="68">
        <v>1</v>
      </c>
      <c r="M48" s="69">
        <v>0</v>
      </c>
      <c r="N48" s="482">
        <f>N47</f>
        <v>20384</v>
      </c>
      <c r="O48" s="70">
        <v>0.2024</v>
      </c>
      <c r="P48" s="482">
        <f t="shared" ref="P48:P58" si="17">O48*N48</f>
        <v>4125.7215999999999</v>
      </c>
      <c r="Q48" s="482" t="str">
        <f t="shared" si="8"/>
        <v>n.v.t</v>
      </c>
      <c r="R48" s="482" t="str">
        <f t="shared" si="9"/>
        <v>n.v.t</v>
      </c>
      <c r="S48" s="518" t="str">
        <f t="shared" si="10"/>
        <v>1: 0 t/m 20384 tarief: 20,24% - Max. 4126</v>
      </c>
      <c r="T48" s="482" t="str">
        <f t="shared" si="11"/>
        <v>n.v.t</v>
      </c>
      <c r="U48" s="482" t="str">
        <f t="shared" si="12"/>
        <v>n.v.t</v>
      </c>
      <c r="V48" s="1392" t="str">
        <f t="shared" si="13"/>
        <v>n.v.t</v>
      </c>
      <c r="W48" s="1393" t="str">
        <f t="shared" si="14"/>
        <v>n.v.t</v>
      </c>
      <c r="X48" s="1392" t="str">
        <f t="shared" si="15"/>
        <v>n.v.t</v>
      </c>
      <c r="Y48" s="1393" t="str">
        <f t="shared" si="16"/>
        <v>n.v.t</v>
      </c>
      <c r="Z48" s="154">
        <v>2</v>
      </c>
      <c r="AA48" s="270"/>
    </row>
    <row r="49" spans="1:44" ht="15" customHeight="1" thickBot="1" x14ac:dyDescent="0.35">
      <c r="A49" s="1230"/>
      <c r="B49" s="246" t="s">
        <v>245</v>
      </c>
      <c r="C49" s="87">
        <v>0</v>
      </c>
      <c r="D49" s="108">
        <f>IF(C$24="Maand",C49*12,IF(C$24="4 Weken",C49*13,0))</f>
        <v>0</v>
      </c>
      <c r="E49" s="87">
        <v>0</v>
      </c>
      <c r="F49" s="108">
        <f>IF(E$24="Maand",E49*12,IF(E$24="4 Weken",E49*13,0))</f>
        <v>0</v>
      </c>
      <c r="G49" s="2077" t="s">
        <v>697</v>
      </c>
      <c r="H49" s="1954"/>
      <c r="I49" s="1954"/>
      <c r="J49" s="1955"/>
      <c r="L49" s="68">
        <v>1</v>
      </c>
      <c r="M49" s="69">
        <v>0</v>
      </c>
      <c r="N49" s="482">
        <f t="shared" ref="N49:N58" si="18">N48</f>
        <v>20384</v>
      </c>
      <c r="O49" s="70">
        <v>0.21729999999999999</v>
      </c>
      <c r="P49" s="482">
        <f t="shared" si="17"/>
        <v>4429.4431999999997</v>
      </c>
      <c r="Q49" s="482" t="str">
        <f t="shared" si="8"/>
        <v>n.v.t</v>
      </c>
      <c r="R49" s="482" t="str">
        <f t="shared" si="9"/>
        <v>n.v.t</v>
      </c>
      <c r="S49" s="518" t="str">
        <f t="shared" si="10"/>
        <v>1: 0 t/m 20384 tarief: 21,73% - Max. 4429</v>
      </c>
      <c r="T49" s="482" t="str">
        <f t="shared" si="11"/>
        <v>n.v.t</v>
      </c>
      <c r="U49" s="482" t="str">
        <f t="shared" si="12"/>
        <v>n.v.t</v>
      </c>
      <c r="V49" s="1392" t="str">
        <f t="shared" si="13"/>
        <v>n.v.t</v>
      </c>
      <c r="W49" s="1393" t="str">
        <f t="shared" si="14"/>
        <v>n.v.t</v>
      </c>
      <c r="X49" s="1392" t="str">
        <f t="shared" si="15"/>
        <v>n.v.t</v>
      </c>
      <c r="Y49" s="1393" t="str">
        <f t="shared" si="16"/>
        <v>n.v.t</v>
      </c>
      <c r="Z49" s="154">
        <v>3</v>
      </c>
    </row>
    <row r="50" spans="1:44" ht="14.4" customHeight="1" thickBot="1" x14ac:dyDescent="0.35">
      <c r="A50" s="1668">
        <v>42</v>
      </c>
      <c r="B50" s="1670" t="s">
        <v>289</v>
      </c>
      <c r="C50" s="1671">
        <f>SUM(C48:C49)</f>
        <v>0</v>
      </c>
      <c r="D50" s="1671">
        <f>SUM(D48:D49)</f>
        <v>0</v>
      </c>
      <c r="E50" s="1671">
        <f>SUM(E48:E49)</f>
        <v>0</v>
      </c>
      <c r="F50" s="1671">
        <f>SUM(F48:F49)</f>
        <v>0</v>
      </c>
      <c r="L50" s="68">
        <v>1</v>
      </c>
      <c r="M50" s="69">
        <v>0</v>
      </c>
      <c r="N50" s="482">
        <f t="shared" si="18"/>
        <v>20384</v>
      </c>
      <c r="O50" s="70">
        <v>0.23230000000000001</v>
      </c>
      <c r="P50" s="482">
        <f t="shared" si="17"/>
        <v>4735.2031999999999</v>
      </c>
      <c r="Q50" s="482" t="str">
        <f t="shared" si="8"/>
        <v>n.v.t</v>
      </c>
      <c r="R50" s="482" t="str">
        <f t="shared" si="9"/>
        <v>n.v.t</v>
      </c>
      <c r="S50" s="518" t="str">
        <f t="shared" si="10"/>
        <v>1: 0 t/m 20384 tarief: 23,23% - Max. 4735</v>
      </c>
      <c r="T50" s="482" t="str">
        <f t="shared" si="11"/>
        <v>n.v.t</v>
      </c>
      <c r="U50" s="482" t="str">
        <f t="shared" si="12"/>
        <v>n.v.t</v>
      </c>
      <c r="V50" s="1392" t="str">
        <f t="shared" si="13"/>
        <v>n.v.t</v>
      </c>
      <c r="W50" s="1393" t="str">
        <f t="shared" si="14"/>
        <v>n.v.t</v>
      </c>
      <c r="X50" s="1392" t="str">
        <f t="shared" si="15"/>
        <v>n.v.t</v>
      </c>
      <c r="Y50" s="1393" t="str">
        <f t="shared" si="16"/>
        <v>n.v.t</v>
      </c>
      <c r="Z50" s="154">
        <v>4</v>
      </c>
    </row>
    <row r="51" spans="1:44" ht="15" thickBot="1" x14ac:dyDescent="0.35">
      <c r="A51" s="1672">
        <v>51</v>
      </c>
      <c r="B51" s="1673" t="s">
        <v>416</v>
      </c>
      <c r="C51" s="1674">
        <v>0</v>
      </c>
      <c r="D51" s="1675">
        <f>IF(C$24="Maand",C51*12,IF(C$24="4 Weken",C51*13,0))</f>
        <v>0</v>
      </c>
      <c r="E51" s="1674">
        <v>0</v>
      </c>
      <c r="F51" s="1675">
        <f>IF(E$24="Maand",E51*12,IF(E$24="4 Weken",E51*13,0))</f>
        <v>0</v>
      </c>
      <c r="G51" s="2068" t="s">
        <v>697</v>
      </c>
      <c r="H51" s="2069"/>
      <c r="I51" s="2069"/>
      <c r="J51" s="2070"/>
      <c r="L51" s="68">
        <v>1</v>
      </c>
      <c r="M51" s="69">
        <v>0</v>
      </c>
      <c r="N51" s="482">
        <f t="shared" si="18"/>
        <v>20384</v>
      </c>
      <c r="O51" s="70">
        <v>0.2472</v>
      </c>
      <c r="P51" s="482">
        <f t="shared" si="17"/>
        <v>5038.9247999999998</v>
      </c>
      <c r="Q51" s="482" t="str">
        <f t="shared" si="8"/>
        <v>n.v.t</v>
      </c>
      <c r="R51" s="482" t="str">
        <f t="shared" si="9"/>
        <v>n.v.t</v>
      </c>
      <c r="S51" s="518" t="str">
        <f t="shared" si="10"/>
        <v>1: 0 t/m 20384 tarief: 24,72% - Max. 5039</v>
      </c>
      <c r="T51" s="482" t="str">
        <f t="shared" si="11"/>
        <v>n.v.t</v>
      </c>
      <c r="U51" s="482" t="str">
        <f t="shared" si="12"/>
        <v>n.v.t</v>
      </c>
      <c r="V51" s="1392" t="str">
        <f t="shared" si="13"/>
        <v>n.v.t</v>
      </c>
      <c r="W51" s="1393" t="str">
        <f t="shared" si="14"/>
        <v>n.v.t</v>
      </c>
      <c r="X51" s="1392" t="str">
        <f t="shared" si="15"/>
        <v>n.v.t</v>
      </c>
      <c r="Y51" s="1393" t="str">
        <f t="shared" si="16"/>
        <v>n.v.t</v>
      </c>
      <c r="Z51" s="154">
        <v>5</v>
      </c>
    </row>
    <row r="52" spans="1:44" ht="15" thickBot="1" x14ac:dyDescent="0.35">
      <c r="A52" s="1669">
        <v>57</v>
      </c>
      <c r="B52" s="1676" t="str">
        <f>CONCATENATE("Premie ZKV over AOW a ",C149*100,"% te berekenen over:")</f>
        <v>Premie ZKV over AOW a 5,7% te berekenen over:</v>
      </c>
      <c r="C52" s="1808">
        <f>IF(D50=0,0,IF($C$150-(D35+D41+D71)+SUM(D72:D74)&lt;0.01,0,IF(D43&gt;0,$C$150-(D35+D43+D71)+SUM(D72:D74),$C$150-(D35+D41+D71)+SUM(D72:D74))))</f>
        <v>0</v>
      </c>
      <c r="D52" s="1677">
        <f>IF(C52&lt;0.01,0,IF(C52&gt;D50,D50*$C$149,C52*$C$149))</f>
        <v>0</v>
      </c>
      <c r="E52" s="1808">
        <f>IF(F50=0,0,IF($C$150-(F35+F41+F71)+SUM(F72:F74)&lt;0.01,0,IF(F43&gt;0,$C$150-(F35+F43+F71)+SUM(F72:F74),$C$150-(F35+F41+F71)+SUM(F72:F74))))</f>
        <v>0</v>
      </c>
      <c r="F52" s="1677">
        <f>IF(E52&lt;0.01,0,IF(E52&gt;F50,F50*$C$149,E52*$C$149))</f>
        <v>0</v>
      </c>
      <c r="G52" s="2071" t="s">
        <v>904</v>
      </c>
      <c r="H52" s="1954"/>
      <c r="I52" s="1954"/>
      <c r="J52" s="1955"/>
      <c r="L52" s="68">
        <v>1</v>
      </c>
      <c r="M52" s="69">
        <v>0</v>
      </c>
      <c r="N52" s="482">
        <f t="shared" si="18"/>
        <v>20384</v>
      </c>
      <c r="O52" s="70">
        <v>0.2621</v>
      </c>
      <c r="P52" s="482">
        <f t="shared" si="17"/>
        <v>5342.6463999999996</v>
      </c>
      <c r="Q52" s="482" t="str">
        <f t="shared" si="8"/>
        <v>n.v.t</v>
      </c>
      <c r="R52" s="482" t="str">
        <f t="shared" si="9"/>
        <v>n.v.t</v>
      </c>
      <c r="S52" s="518" t="str">
        <f t="shared" si="10"/>
        <v>1: 0 t/m 20384 tarief: 26,21% - Max. 5343</v>
      </c>
      <c r="T52" s="482" t="str">
        <f t="shared" si="11"/>
        <v>n.v.t</v>
      </c>
      <c r="U52" s="482" t="str">
        <f t="shared" si="12"/>
        <v>n.v.t</v>
      </c>
      <c r="V52" s="1392" t="str">
        <f t="shared" si="13"/>
        <v>n.v.t</v>
      </c>
      <c r="W52" s="1393" t="str">
        <f t="shared" si="14"/>
        <v>n.v.t</v>
      </c>
      <c r="X52" s="1392" t="str">
        <f t="shared" si="15"/>
        <v>n.v.t</v>
      </c>
      <c r="Y52" s="1393" t="str">
        <f t="shared" si="16"/>
        <v>n.v.t</v>
      </c>
      <c r="Z52" s="154">
        <v>6</v>
      </c>
      <c r="AQ52" s="722"/>
      <c r="AR52" s="1441"/>
    </row>
    <row r="53" spans="1:44" ht="15" thickBot="1" x14ac:dyDescent="0.35">
      <c r="K53" s="270"/>
      <c r="L53" s="68">
        <v>1</v>
      </c>
      <c r="M53" s="69">
        <v>0</v>
      </c>
      <c r="N53" s="482">
        <f t="shared" si="18"/>
        <v>20384</v>
      </c>
      <c r="O53" s="70">
        <v>0.27700000000000002</v>
      </c>
      <c r="P53" s="482">
        <f t="shared" si="17"/>
        <v>5646.3680000000004</v>
      </c>
      <c r="Q53" s="482" t="str">
        <f t="shared" si="8"/>
        <v>n.v.t</v>
      </c>
      <c r="R53" s="482" t="str">
        <f t="shared" si="9"/>
        <v>n.v.t</v>
      </c>
      <c r="S53" s="518" t="str">
        <f t="shared" si="10"/>
        <v>1: 0 t/m 20384 tarief: 27,7% - Max. 5646</v>
      </c>
      <c r="T53" s="482" t="str">
        <f t="shared" si="11"/>
        <v>n.v.t</v>
      </c>
      <c r="U53" s="482" t="str">
        <f t="shared" si="12"/>
        <v>n.v.t</v>
      </c>
      <c r="V53" s="1392" t="str">
        <f t="shared" si="13"/>
        <v>n.v.t</v>
      </c>
      <c r="W53" s="1393" t="str">
        <f t="shared" si="14"/>
        <v>n.v.t</v>
      </c>
      <c r="X53" s="1392" t="str">
        <f t="shared" si="15"/>
        <v>n.v.t</v>
      </c>
      <c r="Y53" s="1393" t="str">
        <f t="shared" si="16"/>
        <v>n.v.t</v>
      </c>
      <c r="Z53" s="154">
        <v>7</v>
      </c>
      <c r="AR53" s="1441"/>
    </row>
    <row r="54" spans="1:44" ht="15" thickBot="1" x14ac:dyDescent="0.35">
      <c r="A54" s="379">
        <v>43</v>
      </c>
      <c r="B54" s="240" t="s">
        <v>525</v>
      </c>
      <c r="C54" s="144" t="str">
        <f>$C$4</f>
        <v>AP</v>
      </c>
      <c r="D54" s="102"/>
      <c r="E54" s="61" t="str">
        <f>$D$4</f>
        <v>AG</v>
      </c>
      <c r="K54" s="270"/>
      <c r="L54" s="68">
        <v>1</v>
      </c>
      <c r="M54" s="69">
        <v>0</v>
      </c>
      <c r="N54" s="482">
        <f t="shared" si="18"/>
        <v>20384</v>
      </c>
      <c r="O54" s="70">
        <v>0.29189999999999999</v>
      </c>
      <c r="P54" s="482">
        <f t="shared" si="17"/>
        <v>5950.0896000000002</v>
      </c>
      <c r="Q54" s="482" t="str">
        <f t="shared" si="8"/>
        <v>n.v.t</v>
      </c>
      <c r="R54" s="482" t="str">
        <f t="shared" si="9"/>
        <v>n.v.t</v>
      </c>
      <c r="S54" s="518" t="str">
        <f t="shared" si="10"/>
        <v>1: 0 t/m 20384 tarief: 29,19% - Max. 5950</v>
      </c>
      <c r="T54" s="482" t="str">
        <f t="shared" si="11"/>
        <v>n.v.t</v>
      </c>
      <c r="U54" s="482" t="str">
        <f t="shared" si="12"/>
        <v>n.v.t</v>
      </c>
      <c r="V54" s="1392" t="str">
        <f t="shared" si="13"/>
        <v>n.v.t</v>
      </c>
      <c r="W54" s="1393" t="str">
        <f t="shared" si="14"/>
        <v>n.v.t</v>
      </c>
      <c r="X54" s="1392" t="str">
        <f t="shared" si="15"/>
        <v>n.v.t</v>
      </c>
      <c r="Y54" s="1393" t="str">
        <f t="shared" si="16"/>
        <v>n.v.t</v>
      </c>
      <c r="Z54" s="154">
        <v>8</v>
      </c>
      <c r="AR54" s="1441"/>
    </row>
    <row r="55" spans="1:44" ht="15" thickBot="1" x14ac:dyDescent="0.35">
      <c r="B55" s="652" t="s">
        <v>586</v>
      </c>
      <c r="C55" s="233" t="s">
        <v>150</v>
      </c>
      <c r="D55" s="795" t="s">
        <v>586</v>
      </c>
      <c r="E55" s="233" t="s">
        <v>150</v>
      </c>
      <c r="K55" s="2"/>
      <c r="L55" s="68">
        <v>1</v>
      </c>
      <c r="M55" s="69">
        <v>0</v>
      </c>
      <c r="N55" s="482">
        <f t="shared" si="18"/>
        <v>20384</v>
      </c>
      <c r="O55" s="70">
        <v>0.30680000000000002</v>
      </c>
      <c r="P55" s="482">
        <f t="shared" si="17"/>
        <v>6253.8112000000001</v>
      </c>
      <c r="Q55" s="482" t="str">
        <f t="shared" si="8"/>
        <v>n.v.t</v>
      </c>
      <c r="R55" s="482" t="str">
        <f t="shared" si="9"/>
        <v>n.v.t</v>
      </c>
      <c r="S55" s="518" t="str">
        <f t="shared" si="10"/>
        <v>1: 0 t/m 20384 tarief: 30,68% - Max. 6254</v>
      </c>
      <c r="T55" s="482" t="str">
        <f t="shared" si="11"/>
        <v>n.v.t</v>
      </c>
      <c r="U55" s="482" t="str">
        <f t="shared" si="12"/>
        <v>n.v.t</v>
      </c>
      <c r="V55" s="1392" t="str">
        <f t="shared" si="13"/>
        <v>n.v.t</v>
      </c>
      <c r="W55" s="1393" t="str">
        <f t="shared" si="14"/>
        <v>n.v.t</v>
      </c>
      <c r="X55" s="1392" t="str">
        <f t="shared" si="15"/>
        <v>n.v.t</v>
      </c>
      <c r="Y55" s="1393" t="str">
        <f t="shared" si="16"/>
        <v>n.v.t</v>
      </c>
      <c r="Z55" s="154">
        <v>9</v>
      </c>
      <c r="AR55" s="1441"/>
    </row>
    <row r="56" spans="1:44" ht="14.25" customHeight="1" thickBot="1" x14ac:dyDescent="0.35">
      <c r="A56" s="30" t="s">
        <v>415</v>
      </c>
      <c r="B56" s="244" t="s">
        <v>110</v>
      </c>
      <c r="C56" s="61" t="str">
        <f>IF(C55="Maand","Per Maand",IF(C55="4 Weken","Per 4-weken",IF(C55="Anders","Anders","")))</f>
        <v>Per Maand</v>
      </c>
      <c r="D56" s="271" t="s">
        <v>582</v>
      </c>
      <c r="E56" s="61" t="str">
        <f>IF(E55="Maand","Per Maand",IF(E55="4 Weken","Per 4-weken",IF(E55="Anders","Anders","")))</f>
        <v>Per Maand</v>
      </c>
      <c r="F56" s="156" t="s">
        <v>582</v>
      </c>
      <c r="G56" s="2107" t="s">
        <v>362</v>
      </c>
      <c r="H56" s="1983"/>
      <c r="I56" s="1983"/>
      <c r="J56" s="1984"/>
      <c r="K56" s="2"/>
      <c r="L56" s="68">
        <v>1</v>
      </c>
      <c r="M56" s="69">
        <v>0</v>
      </c>
      <c r="N56" s="482">
        <f t="shared" si="18"/>
        <v>20384</v>
      </c>
      <c r="O56" s="70">
        <v>0.32179999999999997</v>
      </c>
      <c r="P56" s="482">
        <f t="shared" si="17"/>
        <v>6559.5711999999994</v>
      </c>
      <c r="Q56" s="482" t="str">
        <f t="shared" si="8"/>
        <v>n.v.t</v>
      </c>
      <c r="R56" s="482" t="str">
        <f t="shared" si="9"/>
        <v>n.v.t</v>
      </c>
      <c r="S56" s="518" t="str">
        <f t="shared" si="10"/>
        <v>1: 0 t/m 20384 tarief: 32,18% - Max. 6560</v>
      </c>
      <c r="T56" s="482" t="str">
        <f t="shared" si="11"/>
        <v>n.v.t</v>
      </c>
      <c r="U56" s="482" t="str">
        <f t="shared" si="12"/>
        <v>n.v.t</v>
      </c>
      <c r="V56" s="1392" t="str">
        <f t="shared" si="13"/>
        <v>n.v.t</v>
      </c>
      <c r="W56" s="1393" t="str">
        <f t="shared" si="14"/>
        <v>n.v.t</v>
      </c>
      <c r="X56" s="1392" t="str">
        <f t="shared" si="15"/>
        <v>n.v.t</v>
      </c>
      <c r="Y56" s="1393" t="str">
        <f t="shared" si="16"/>
        <v>n.v.t</v>
      </c>
      <c r="Z56" s="154">
        <v>10</v>
      </c>
      <c r="AR56" s="1441"/>
    </row>
    <row r="57" spans="1:44" x14ac:dyDescent="0.3">
      <c r="A57" s="800"/>
      <c r="B57" s="245" t="s">
        <v>732</v>
      </c>
      <c r="C57" s="214">
        <v>0</v>
      </c>
      <c r="D57" s="107">
        <f>IF(C$24="Maand",C57*12,IF(C$24="4 Weken",C57*13,0))</f>
        <v>0</v>
      </c>
      <c r="E57" s="214">
        <v>0</v>
      </c>
      <c r="F57" s="107">
        <f>IF(E$24="Maand",E57*12,IF(E$24="4 Weken",E57*13,0))</f>
        <v>0</v>
      </c>
      <c r="G57" s="2093" t="s">
        <v>731</v>
      </c>
      <c r="H57" s="1986"/>
      <c r="I57" s="1986"/>
      <c r="J57" s="1987"/>
      <c r="K57" s="2"/>
      <c r="L57" s="68">
        <v>1</v>
      </c>
      <c r="M57" s="69">
        <v>0</v>
      </c>
      <c r="N57" s="482">
        <f t="shared" si="18"/>
        <v>20384</v>
      </c>
      <c r="O57" s="70">
        <v>0.3367</v>
      </c>
      <c r="P57" s="482">
        <f t="shared" si="17"/>
        <v>6863.2928000000002</v>
      </c>
      <c r="Q57" s="482" t="str">
        <f t="shared" si="8"/>
        <v>n.v.t</v>
      </c>
      <c r="R57" s="482" t="str">
        <f t="shared" si="9"/>
        <v>n.v.t</v>
      </c>
      <c r="S57" s="518" t="str">
        <f t="shared" si="10"/>
        <v>1: 0 t/m 20384 tarief: 33,67% - Max. 6863</v>
      </c>
      <c r="T57" s="482" t="str">
        <f t="shared" si="11"/>
        <v>n.v.t</v>
      </c>
      <c r="U57" s="482" t="str">
        <f t="shared" si="12"/>
        <v>n.v.t</v>
      </c>
      <c r="V57" s="1392" t="str">
        <f t="shared" si="13"/>
        <v>n.v.t</v>
      </c>
      <c r="W57" s="1393" t="str">
        <f t="shared" si="14"/>
        <v>n.v.t</v>
      </c>
      <c r="X57" s="1392" t="str">
        <f t="shared" si="15"/>
        <v>n.v.t</v>
      </c>
      <c r="Y57" s="1393" t="str">
        <f t="shared" si="16"/>
        <v>n.v.t</v>
      </c>
      <c r="Z57" s="154">
        <v>11</v>
      </c>
      <c r="AR57" s="1441"/>
    </row>
    <row r="58" spans="1:44" ht="15" thickBot="1" x14ac:dyDescent="0.35">
      <c r="A58" s="1230"/>
      <c r="B58" s="246" t="s">
        <v>585</v>
      </c>
      <c r="C58" s="1807">
        <f>0.08*C57</f>
        <v>0</v>
      </c>
      <c r="D58" s="108">
        <f>IF(C$24="Maand",C58*12,IF(C$24="4 Weken",C58*13,0))</f>
        <v>0</v>
      </c>
      <c r="E58" s="1807">
        <f>0.08*E57</f>
        <v>0</v>
      </c>
      <c r="F58" s="108">
        <f>IF(E$24="Maand",E58*12,IF(E$24="4 Weken",E58*13,0))</f>
        <v>0</v>
      </c>
      <c r="G58" s="2077" t="s">
        <v>731</v>
      </c>
      <c r="H58" s="1954"/>
      <c r="I58" s="1954"/>
      <c r="J58" s="1955"/>
      <c r="K58" s="2"/>
      <c r="L58" s="72">
        <v>1</v>
      </c>
      <c r="M58" s="73">
        <v>0</v>
      </c>
      <c r="N58" s="508">
        <f t="shared" si="18"/>
        <v>20384</v>
      </c>
      <c r="O58" s="74">
        <v>0.35160000000000002</v>
      </c>
      <c r="P58" s="508">
        <f t="shared" si="17"/>
        <v>7167.0144000000009</v>
      </c>
      <c r="Q58" s="508" t="str">
        <f t="shared" si="8"/>
        <v>n.v.t</v>
      </c>
      <c r="R58" s="508" t="str">
        <f t="shared" si="9"/>
        <v>n.v.t</v>
      </c>
      <c r="S58" s="519" t="str">
        <f t="shared" si="10"/>
        <v>1: 0 t/m 20384 tarief: 35,16% - Max. 7167</v>
      </c>
      <c r="T58" s="508" t="str">
        <f t="shared" si="11"/>
        <v>n.v.t</v>
      </c>
      <c r="U58" s="508" t="str">
        <f t="shared" si="12"/>
        <v>n.v.t</v>
      </c>
      <c r="V58" s="1407" t="str">
        <f t="shared" si="13"/>
        <v>n.v.t</v>
      </c>
      <c r="W58" s="1408" t="str">
        <f t="shared" si="14"/>
        <v>n.v.t</v>
      </c>
      <c r="X58" s="1407" t="str">
        <f t="shared" si="15"/>
        <v>n.v.t</v>
      </c>
      <c r="Y58" s="1408" t="str">
        <f t="shared" si="16"/>
        <v>n.v.t</v>
      </c>
      <c r="Z58" s="71">
        <v>12</v>
      </c>
      <c r="AR58" s="1441"/>
    </row>
    <row r="59" spans="1:44" ht="15" thickBot="1" x14ac:dyDescent="0.35">
      <c r="A59" s="388">
        <v>43</v>
      </c>
      <c r="B59" s="247" t="s">
        <v>246</v>
      </c>
      <c r="C59" s="79">
        <f>SUM(C57:C58)</f>
        <v>0</v>
      </c>
      <c r="D59" s="79">
        <f>SUM(D57:D58)</f>
        <v>0</v>
      </c>
      <c r="E59" s="79">
        <f>SUM(E57:E58)</f>
        <v>0</v>
      </c>
      <c r="F59" s="79">
        <f>SUM(F57:F58)</f>
        <v>0</v>
      </c>
      <c r="K59" s="2"/>
      <c r="L59" s="149">
        <v>2</v>
      </c>
      <c r="M59" s="507">
        <f t="shared" ref="M59:M70" si="19">N$47+1</f>
        <v>20385</v>
      </c>
      <c r="N59" s="150">
        <v>34300</v>
      </c>
      <c r="O59" s="151">
        <v>0.20200000000000001</v>
      </c>
      <c r="P59" s="509">
        <f t="shared" ref="P59:P70" si="20">O59*(N59-N$47)</f>
        <v>2811.0320000000002</v>
      </c>
      <c r="Q59" s="507" t="str">
        <f t="shared" ref="Q59:Q70" si="21">IF(AND(C$10="Ja",YEAR(C$9)=$C$16,MONTH(C$9)=$Z59),IF($N$3&lt;$M59,0,IF($N$3&gt;$N59,($N59-$N$47)*$O59,($N$3-$N$47)*$O59)),"n.v.t")</f>
        <v>n.v.t</v>
      </c>
      <c r="R59" s="507" t="str">
        <f t="shared" ref="R59:R70" si="22">IF(AND(D$10="Ja",YEAR(D$9)=$C$16,MONTH(D$9)=$Z59),IF($R$3&lt;$M59,0,IF($R$3&gt;$N59,($N59-$N$47)*$O59,($R$3-$N$47)*$O59)),"n.v.t")</f>
        <v>n.v.t</v>
      </c>
      <c r="S59" s="510" t="str">
        <f t="shared" si="10"/>
        <v>2: 20385 t/m 34300 tarief: 20,2% - Max. 2811</v>
      </c>
      <c r="T59" s="507" t="str">
        <f t="shared" ref="T59:T70" si="23">IF(AND(C$10="Ja",YEAR(C$9)=$C$16,MONTH(C$9)=$Z59),IF($T$3&lt;$M59,0,IF($T$3&gt;$N59,($N59-$N$47)*$O59,($T$3-$N$47)*$O59)),"n.v.t")</f>
        <v>n.v.t</v>
      </c>
      <c r="U59" s="507" t="str">
        <f t="shared" ref="U59:U70" si="24">IF(AND(D$10="Ja",YEAR(D$9)=$C$16,MONTH(D$9)=$Z59),IF($U$3&lt;$M59,0,IF($U$3&gt;$N59,($N59-$N$47)*$O59,($U$3-$N$47)*$O59)),"n.v.t")</f>
        <v>n.v.t</v>
      </c>
      <c r="V59" s="1405" t="str">
        <f t="shared" ref="V59:V70" si="25">IF(AND(C$10="Ja",YEAR(C$9)=$C$16,MONTH(C$9)=$Z59),IF($V$4&lt;$M59,0,IF($V$4&gt;$N59,($N59-$N$47)*$O59,($V$4-$N$47)*$O59)),"n.v.t")</f>
        <v>n.v.t</v>
      </c>
      <c r="W59" s="1406" t="str">
        <f t="shared" ref="W59:W70" si="26">IF(AND(D$10="Ja",YEAR(D$9)=$C$16,MONTH(D$9)=$Z59),IF($W$4&lt;$M59,0,IF($W$4&gt;$N59,($N59-$N$47)*$O59,($W$4-$N$47)*$O59)),"n.v.t")</f>
        <v>n.v.t</v>
      </c>
      <c r="X59" s="1405" t="str">
        <f t="shared" ref="X59:X70" si="27">IF(AND(D$10="Ja",YEAR(D$9)=$C$16,MONTH(D$9)=$Z59),IF($X$4&lt;M59-P47-P59,0,IF($X$4&gt;N59-P47-P59,N59-M59-P59,$X$4-X58)),"n.v.t")</f>
        <v>n.v.t</v>
      </c>
      <c r="Y59" s="1406" t="str">
        <f t="shared" si="16"/>
        <v>n.v.t</v>
      </c>
      <c r="Z59" s="67">
        <v>1</v>
      </c>
      <c r="AR59" s="1441"/>
    </row>
    <row r="60" spans="1:44" ht="15" thickBot="1" x14ac:dyDescent="0.35">
      <c r="A60" s="801">
        <v>51</v>
      </c>
      <c r="B60" s="248" t="s">
        <v>416</v>
      </c>
      <c r="C60" s="325">
        <v>0</v>
      </c>
      <c r="D60" s="109">
        <f>IF(C$24="Maand",C60*12,IF(C$24="4 Weken",C60*13,0))</f>
        <v>0</v>
      </c>
      <c r="E60" s="325">
        <v>0</v>
      </c>
      <c r="F60" s="109">
        <f>IF(E$24="Maand",E60*12,IF(E$24="4 Weken",E60*13,0))</f>
        <v>0</v>
      </c>
      <c r="K60" s="2"/>
      <c r="L60" s="68">
        <v>2</v>
      </c>
      <c r="M60" s="482">
        <f t="shared" si="19"/>
        <v>20385</v>
      </c>
      <c r="N60" s="482">
        <f t="shared" ref="N60:N70" si="28">N$59</f>
        <v>34300</v>
      </c>
      <c r="O60" s="70">
        <v>0.21690000000000001</v>
      </c>
      <c r="P60" s="511">
        <f t="shared" si="20"/>
        <v>3018.3804</v>
      </c>
      <c r="Q60" s="482" t="str">
        <f t="shared" si="21"/>
        <v>n.v.t</v>
      </c>
      <c r="R60" s="482" t="str">
        <f t="shared" si="22"/>
        <v>n.v.t</v>
      </c>
      <c r="S60" s="512" t="str">
        <f t="shared" si="10"/>
        <v>2: 20385 t/m 34300 tarief: 21,69% - Max. 3018</v>
      </c>
      <c r="T60" s="482" t="str">
        <f t="shared" si="23"/>
        <v>n.v.t</v>
      </c>
      <c r="U60" s="482" t="str">
        <f t="shared" si="24"/>
        <v>n.v.t</v>
      </c>
      <c r="V60" s="1394" t="str">
        <f t="shared" si="25"/>
        <v>n.v.t</v>
      </c>
      <c r="W60" s="1395" t="str">
        <f t="shared" si="26"/>
        <v>n.v.t</v>
      </c>
      <c r="X60" s="1394" t="str">
        <f t="shared" si="27"/>
        <v>n.v.t</v>
      </c>
      <c r="Y60" s="1395" t="str">
        <f t="shared" si="16"/>
        <v>n.v.t</v>
      </c>
      <c r="Z60" s="154">
        <v>2</v>
      </c>
      <c r="AR60" s="1441"/>
    </row>
    <row r="61" spans="1:44" ht="14.4" customHeight="1" thickBot="1" x14ac:dyDescent="0.35">
      <c r="K61" s="2"/>
      <c r="L61" s="68">
        <v>2</v>
      </c>
      <c r="M61" s="482">
        <f t="shared" si="19"/>
        <v>20385</v>
      </c>
      <c r="N61" s="482">
        <f t="shared" si="28"/>
        <v>34300</v>
      </c>
      <c r="O61" s="70">
        <v>0.23180000000000001</v>
      </c>
      <c r="P61" s="511">
        <f t="shared" si="20"/>
        <v>3225.7287999999999</v>
      </c>
      <c r="Q61" s="482" t="str">
        <f t="shared" si="21"/>
        <v>n.v.t</v>
      </c>
      <c r="R61" s="482" t="str">
        <f t="shared" si="22"/>
        <v>n.v.t</v>
      </c>
      <c r="S61" s="512" t="str">
        <f t="shared" ref="S61:S70" si="29">CONCATENATE(L61,": ",M61," t/m ",N61," tarief: ",(O61*100),"% - Max. ",ROUND(P61,0))</f>
        <v>2: 20385 t/m 34300 tarief: 23,18% - Max. 3226</v>
      </c>
      <c r="T61" s="482" t="str">
        <f t="shared" si="23"/>
        <v>n.v.t</v>
      </c>
      <c r="U61" s="482" t="str">
        <f t="shared" si="24"/>
        <v>n.v.t</v>
      </c>
      <c r="V61" s="1394" t="str">
        <f t="shared" si="25"/>
        <v>n.v.t</v>
      </c>
      <c r="W61" s="1395" t="str">
        <f t="shared" si="26"/>
        <v>n.v.t</v>
      </c>
      <c r="X61" s="1394" t="str">
        <f t="shared" si="27"/>
        <v>n.v.t</v>
      </c>
      <c r="Y61" s="1395" t="str">
        <f t="shared" si="16"/>
        <v>n.v.t</v>
      </c>
      <c r="Z61" s="154">
        <v>3</v>
      </c>
      <c r="AR61" s="1441"/>
    </row>
    <row r="62" spans="1:44" ht="14.4" customHeight="1" thickBot="1" x14ac:dyDescent="0.35">
      <c r="A62" s="379">
        <v>50</v>
      </c>
      <c r="B62" s="240" t="s">
        <v>248</v>
      </c>
      <c r="C62" s="144" t="str">
        <f>$C$4</f>
        <v>AP</v>
      </c>
      <c r="D62" s="102"/>
      <c r="E62" s="61" t="str">
        <f>$D$4</f>
        <v>AG</v>
      </c>
      <c r="K62" s="2"/>
      <c r="L62" s="68">
        <v>2</v>
      </c>
      <c r="M62" s="482">
        <f t="shared" si="19"/>
        <v>20385</v>
      </c>
      <c r="N62" s="482">
        <f t="shared" si="28"/>
        <v>34300</v>
      </c>
      <c r="O62" s="70">
        <v>0.24679999999999999</v>
      </c>
      <c r="P62" s="511">
        <f t="shared" si="20"/>
        <v>3434.4688000000001</v>
      </c>
      <c r="Q62" s="482" t="str">
        <f t="shared" si="21"/>
        <v>n.v.t</v>
      </c>
      <c r="R62" s="482" t="str">
        <f t="shared" si="22"/>
        <v>n.v.t</v>
      </c>
      <c r="S62" s="512" t="str">
        <f t="shared" si="29"/>
        <v>2: 20385 t/m 34300 tarief: 24,68% - Max. 3434</v>
      </c>
      <c r="T62" s="482" t="str">
        <f t="shared" si="23"/>
        <v>n.v.t</v>
      </c>
      <c r="U62" s="482" t="str">
        <f t="shared" si="24"/>
        <v>n.v.t</v>
      </c>
      <c r="V62" s="1394" t="str">
        <f t="shared" si="25"/>
        <v>n.v.t</v>
      </c>
      <c r="W62" s="1395" t="str">
        <f t="shared" si="26"/>
        <v>n.v.t</v>
      </c>
      <c r="X62" s="1394" t="str">
        <f t="shared" si="27"/>
        <v>n.v.t</v>
      </c>
      <c r="Y62" s="1395" t="str">
        <f t="shared" si="16"/>
        <v>n.v.t</v>
      </c>
      <c r="Z62" s="154">
        <v>4</v>
      </c>
      <c r="AR62" s="1441"/>
    </row>
    <row r="63" spans="1:44" ht="14.4" customHeight="1" thickBot="1" x14ac:dyDescent="0.35">
      <c r="B63" s="652" t="s">
        <v>586</v>
      </c>
      <c r="C63" s="100" t="s">
        <v>150</v>
      </c>
      <c r="D63" s="795" t="s">
        <v>586</v>
      </c>
      <c r="E63" s="100" t="s">
        <v>150</v>
      </c>
      <c r="K63" s="2"/>
      <c r="L63" s="68">
        <v>2</v>
      </c>
      <c r="M63" s="482">
        <f t="shared" si="19"/>
        <v>20385</v>
      </c>
      <c r="N63" s="482">
        <f t="shared" si="28"/>
        <v>34300</v>
      </c>
      <c r="O63" s="70">
        <v>0.26169999999999999</v>
      </c>
      <c r="P63" s="511">
        <f t="shared" si="20"/>
        <v>3641.8172</v>
      </c>
      <c r="Q63" s="482" t="str">
        <f t="shared" si="21"/>
        <v>n.v.t</v>
      </c>
      <c r="R63" s="482" t="str">
        <f t="shared" si="22"/>
        <v>n.v.t</v>
      </c>
      <c r="S63" s="512" t="str">
        <f t="shared" si="29"/>
        <v>2: 20385 t/m 34300 tarief: 26,17% - Max. 3642</v>
      </c>
      <c r="T63" s="482" t="str">
        <f t="shared" si="23"/>
        <v>n.v.t</v>
      </c>
      <c r="U63" s="482" t="str">
        <f t="shared" si="24"/>
        <v>n.v.t</v>
      </c>
      <c r="V63" s="1394" t="str">
        <f t="shared" si="25"/>
        <v>n.v.t</v>
      </c>
      <c r="W63" s="1395" t="str">
        <f t="shared" si="26"/>
        <v>n.v.t</v>
      </c>
      <c r="X63" s="1394" t="str">
        <f t="shared" si="27"/>
        <v>n.v.t</v>
      </c>
      <c r="Y63" s="1395" t="str">
        <f t="shared" si="16"/>
        <v>n.v.t</v>
      </c>
      <c r="Z63" s="154">
        <v>5</v>
      </c>
      <c r="AR63" s="1441"/>
    </row>
    <row r="64" spans="1:44" ht="14.4" customHeight="1" thickBot="1" x14ac:dyDescent="0.35">
      <c r="A64" s="30" t="s">
        <v>415</v>
      </c>
      <c r="B64" s="244" t="s">
        <v>110</v>
      </c>
      <c r="C64" s="61" t="str">
        <f>IF(C63="Maand","Per Maand",IF(C63="4 Weken","Per 4-weken",IF(C63="Anders","Anders","")))</f>
        <v>Per Maand</v>
      </c>
      <c r="D64" s="271" t="s">
        <v>582</v>
      </c>
      <c r="E64" s="61" t="str">
        <f>IF(E63="Maand","Per Maand",IF(E63="4 Weken","Per 4-weken",IF(E63="Anders","Anders","")))</f>
        <v>Per Maand</v>
      </c>
      <c r="F64" s="156" t="s">
        <v>582</v>
      </c>
      <c r="G64" s="2107" t="s">
        <v>362</v>
      </c>
      <c r="H64" s="1983"/>
      <c r="I64" s="1983"/>
      <c r="J64" s="1984"/>
      <c r="K64" s="2"/>
      <c r="L64" s="68">
        <v>2</v>
      </c>
      <c r="M64" s="482">
        <f t="shared" si="19"/>
        <v>20385</v>
      </c>
      <c r="N64" s="482">
        <f t="shared" si="28"/>
        <v>34300</v>
      </c>
      <c r="O64" s="70">
        <v>0.27660000000000001</v>
      </c>
      <c r="P64" s="511">
        <f t="shared" si="20"/>
        <v>3849.1656000000003</v>
      </c>
      <c r="Q64" s="482" t="str">
        <f t="shared" si="21"/>
        <v>n.v.t</v>
      </c>
      <c r="R64" s="482" t="str">
        <f t="shared" si="22"/>
        <v>n.v.t</v>
      </c>
      <c r="S64" s="512" t="str">
        <f t="shared" si="29"/>
        <v>2: 20385 t/m 34300 tarief: 27,66% - Max. 3849</v>
      </c>
      <c r="T64" s="482" t="str">
        <f t="shared" si="23"/>
        <v>n.v.t</v>
      </c>
      <c r="U64" s="482" t="str">
        <f t="shared" si="24"/>
        <v>n.v.t</v>
      </c>
      <c r="V64" s="1394" t="str">
        <f t="shared" si="25"/>
        <v>n.v.t</v>
      </c>
      <c r="W64" s="1395" t="str">
        <f t="shared" si="26"/>
        <v>n.v.t</v>
      </c>
      <c r="X64" s="1394" t="str">
        <f t="shared" si="27"/>
        <v>n.v.t</v>
      </c>
      <c r="Y64" s="1395" t="str">
        <f t="shared" si="16"/>
        <v>n.v.t</v>
      </c>
      <c r="Z64" s="154">
        <v>6</v>
      </c>
      <c r="AR64" s="1441"/>
    </row>
    <row r="65" spans="1:44" ht="14.4" customHeight="1" x14ac:dyDescent="0.3">
      <c r="A65" s="155"/>
      <c r="B65" s="245" t="s">
        <v>249</v>
      </c>
      <c r="C65" s="214">
        <v>0</v>
      </c>
      <c r="D65" s="107">
        <f>IF(C$24="Maand",C65*12,IF(C$24="4 Weken",C65*13,0))</f>
        <v>0</v>
      </c>
      <c r="E65" s="214">
        <v>0</v>
      </c>
      <c r="F65" s="107">
        <f>IF(E$24="Maand",E65*12,IF(E$24="4 Weken",E65*13,0))</f>
        <v>0</v>
      </c>
      <c r="G65" s="2093" t="s">
        <v>688</v>
      </c>
      <c r="H65" s="1986"/>
      <c r="I65" s="1986"/>
      <c r="J65" s="1987"/>
      <c r="K65" s="2"/>
      <c r="L65" s="68">
        <v>2</v>
      </c>
      <c r="M65" s="482">
        <f t="shared" si="19"/>
        <v>20385</v>
      </c>
      <c r="N65" s="482">
        <f t="shared" si="28"/>
        <v>34300</v>
      </c>
      <c r="O65" s="70">
        <v>0.29149999999999998</v>
      </c>
      <c r="P65" s="511">
        <f t="shared" si="20"/>
        <v>4056.5139999999997</v>
      </c>
      <c r="Q65" s="482" t="str">
        <f t="shared" si="21"/>
        <v>n.v.t</v>
      </c>
      <c r="R65" s="482" t="str">
        <f t="shared" si="22"/>
        <v>n.v.t</v>
      </c>
      <c r="S65" s="512" t="str">
        <f t="shared" si="29"/>
        <v>2: 20385 t/m 34300 tarief: 29,15% - Max. 4057</v>
      </c>
      <c r="T65" s="482" t="str">
        <f t="shared" si="23"/>
        <v>n.v.t</v>
      </c>
      <c r="U65" s="482" t="str">
        <f t="shared" si="24"/>
        <v>n.v.t</v>
      </c>
      <c r="V65" s="1394" t="str">
        <f t="shared" si="25"/>
        <v>n.v.t</v>
      </c>
      <c r="W65" s="1395" t="str">
        <f t="shared" si="26"/>
        <v>n.v.t</v>
      </c>
      <c r="X65" s="1394" t="str">
        <f t="shared" si="27"/>
        <v>n.v.t</v>
      </c>
      <c r="Y65" s="1395" t="str">
        <f t="shared" si="16"/>
        <v>n.v.t</v>
      </c>
      <c r="Z65" s="154">
        <v>7</v>
      </c>
      <c r="AR65" s="1441"/>
    </row>
    <row r="66" spans="1:44" ht="14.4" customHeight="1" thickBot="1" x14ac:dyDescent="0.35">
      <c r="A66" s="390"/>
      <c r="B66" s="246" t="s">
        <v>250</v>
      </c>
      <c r="C66" s="87">
        <v>0</v>
      </c>
      <c r="D66" s="108">
        <f>IF(C$24="Maand",C66*12,IF(C$24="4 Weken",C66*13,0))</f>
        <v>0</v>
      </c>
      <c r="E66" s="87">
        <v>0</v>
      </c>
      <c r="F66" s="108">
        <f>IF(E$24="Maand",E66*12,IF(E$24="4 Weken",E66*13,0))</f>
        <v>0</v>
      </c>
      <c r="G66" s="2077" t="s">
        <v>688</v>
      </c>
      <c r="H66" s="1954"/>
      <c r="I66" s="1954"/>
      <c r="J66" s="1955"/>
      <c r="K66" s="2"/>
      <c r="L66" s="68">
        <v>2</v>
      </c>
      <c r="M66" s="482">
        <f t="shared" si="19"/>
        <v>20385</v>
      </c>
      <c r="N66" s="482">
        <f t="shared" si="28"/>
        <v>34300</v>
      </c>
      <c r="O66" s="70">
        <v>0.30640000000000001</v>
      </c>
      <c r="P66" s="511">
        <f t="shared" si="20"/>
        <v>4263.8624</v>
      </c>
      <c r="Q66" s="482" t="str">
        <f t="shared" si="21"/>
        <v>n.v.t</v>
      </c>
      <c r="R66" s="482" t="str">
        <f t="shared" si="22"/>
        <v>n.v.t</v>
      </c>
      <c r="S66" s="512" t="str">
        <f t="shared" si="29"/>
        <v>2: 20385 t/m 34300 tarief: 30,64% - Max. 4264</v>
      </c>
      <c r="T66" s="482" t="str">
        <f t="shared" si="23"/>
        <v>n.v.t</v>
      </c>
      <c r="U66" s="482" t="str">
        <f t="shared" si="24"/>
        <v>n.v.t</v>
      </c>
      <c r="V66" s="1394" t="str">
        <f t="shared" si="25"/>
        <v>n.v.t</v>
      </c>
      <c r="W66" s="1395" t="str">
        <f t="shared" si="26"/>
        <v>n.v.t</v>
      </c>
      <c r="X66" s="1394" t="str">
        <f t="shared" si="27"/>
        <v>n.v.t</v>
      </c>
      <c r="Y66" s="1395" t="str">
        <f t="shared" si="16"/>
        <v>n.v.t</v>
      </c>
      <c r="Z66" s="154">
        <v>8</v>
      </c>
      <c r="AR66" s="1441"/>
    </row>
    <row r="67" spans="1:44" ht="14.4" customHeight="1" thickBot="1" x14ac:dyDescent="0.35">
      <c r="A67" s="384">
        <v>50</v>
      </c>
      <c r="B67" s="247" t="s">
        <v>246</v>
      </c>
      <c r="C67" s="79">
        <f>SUM(C65:C66)</f>
        <v>0</v>
      </c>
      <c r="D67" s="79">
        <f>SUM(D65:D66)</f>
        <v>0</v>
      </c>
      <c r="E67" s="79">
        <f>SUM(E65:E66)</f>
        <v>0</v>
      </c>
      <c r="F67" s="79">
        <f>SUM(F65:F66)</f>
        <v>0</v>
      </c>
      <c r="K67" s="2"/>
      <c r="L67" s="68">
        <v>2</v>
      </c>
      <c r="M67" s="482">
        <f t="shared" si="19"/>
        <v>20385</v>
      </c>
      <c r="N67" s="482">
        <f t="shared" si="28"/>
        <v>34300</v>
      </c>
      <c r="O67" s="70">
        <v>0.32129999999999997</v>
      </c>
      <c r="P67" s="511">
        <f t="shared" si="20"/>
        <v>4471.2107999999998</v>
      </c>
      <c r="Q67" s="482" t="str">
        <f t="shared" si="21"/>
        <v>n.v.t</v>
      </c>
      <c r="R67" s="482" t="str">
        <f t="shared" si="22"/>
        <v>n.v.t</v>
      </c>
      <c r="S67" s="512" t="str">
        <f t="shared" si="29"/>
        <v>2: 20385 t/m 34300 tarief: 32,13% - Max. 4471</v>
      </c>
      <c r="T67" s="482" t="str">
        <f t="shared" si="23"/>
        <v>n.v.t</v>
      </c>
      <c r="U67" s="482" t="str">
        <f t="shared" si="24"/>
        <v>n.v.t</v>
      </c>
      <c r="V67" s="1394" t="str">
        <f t="shared" si="25"/>
        <v>n.v.t</v>
      </c>
      <c r="W67" s="1395" t="str">
        <f t="shared" si="26"/>
        <v>n.v.t</v>
      </c>
      <c r="X67" s="1394" t="str">
        <f t="shared" si="27"/>
        <v>n.v.t</v>
      </c>
      <c r="Y67" s="1395" t="str">
        <f t="shared" si="16"/>
        <v>n.v.t</v>
      </c>
      <c r="Z67" s="154">
        <v>9</v>
      </c>
      <c r="AR67" s="1441"/>
    </row>
    <row r="68" spans="1:44" ht="14.4" customHeight="1" x14ac:dyDescent="0.3">
      <c r="K68" s="2"/>
      <c r="L68" s="68">
        <v>2</v>
      </c>
      <c r="M68" s="482">
        <f t="shared" si="19"/>
        <v>20385</v>
      </c>
      <c r="N68" s="482">
        <f t="shared" si="28"/>
        <v>34300</v>
      </c>
      <c r="O68" s="70">
        <v>0.33629999999999999</v>
      </c>
      <c r="P68" s="511">
        <f t="shared" si="20"/>
        <v>4679.9507999999996</v>
      </c>
      <c r="Q68" s="482" t="str">
        <f t="shared" si="21"/>
        <v>n.v.t</v>
      </c>
      <c r="R68" s="482" t="str">
        <f t="shared" si="22"/>
        <v>n.v.t</v>
      </c>
      <c r="S68" s="512" t="str">
        <f t="shared" si="29"/>
        <v>2: 20385 t/m 34300 tarief: 33,63% - Max. 4680</v>
      </c>
      <c r="T68" s="482" t="str">
        <f t="shared" si="23"/>
        <v>n.v.t</v>
      </c>
      <c r="U68" s="482" t="str">
        <f t="shared" si="24"/>
        <v>n.v.t</v>
      </c>
      <c r="V68" s="1394" t="str">
        <f t="shared" si="25"/>
        <v>n.v.t</v>
      </c>
      <c r="W68" s="1395" t="str">
        <f t="shared" si="26"/>
        <v>n.v.t</v>
      </c>
      <c r="X68" s="1394" t="str">
        <f t="shared" si="27"/>
        <v>n.v.t</v>
      </c>
      <c r="Y68" s="1395" t="str">
        <f t="shared" si="16"/>
        <v>n.v.t</v>
      </c>
      <c r="Z68" s="154">
        <v>10</v>
      </c>
      <c r="AR68" s="1441"/>
    </row>
    <row r="69" spans="1:44" ht="14.4" customHeight="1" thickBot="1" x14ac:dyDescent="0.35">
      <c r="E69" s="1504"/>
      <c r="F69" s="1504"/>
      <c r="G69" s="1504"/>
      <c r="H69" s="1504"/>
      <c r="I69" s="1504"/>
      <c r="J69" s="1504"/>
      <c r="K69" s="2"/>
      <c r="L69" s="68">
        <v>2</v>
      </c>
      <c r="M69" s="482">
        <f t="shared" si="19"/>
        <v>20385</v>
      </c>
      <c r="N69" s="482">
        <f t="shared" si="28"/>
        <v>34300</v>
      </c>
      <c r="O69" s="70">
        <v>0.35120000000000001</v>
      </c>
      <c r="P69" s="511">
        <f t="shared" si="20"/>
        <v>4887.2992000000004</v>
      </c>
      <c r="Q69" s="482" t="str">
        <f t="shared" si="21"/>
        <v>n.v.t</v>
      </c>
      <c r="R69" s="482" t="str">
        <f t="shared" si="22"/>
        <v>n.v.t</v>
      </c>
      <c r="S69" s="512" t="str">
        <f t="shared" si="29"/>
        <v>2: 20385 t/m 34300 tarief: 35,12% - Max. 4887</v>
      </c>
      <c r="T69" s="482" t="str">
        <f t="shared" si="23"/>
        <v>n.v.t</v>
      </c>
      <c r="U69" s="482" t="str">
        <f t="shared" si="24"/>
        <v>n.v.t</v>
      </c>
      <c r="V69" s="1394" t="str">
        <f t="shared" si="25"/>
        <v>n.v.t</v>
      </c>
      <c r="W69" s="1395" t="str">
        <f t="shared" si="26"/>
        <v>n.v.t</v>
      </c>
      <c r="X69" s="1394" t="str">
        <f t="shared" si="27"/>
        <v>n.v.t</v>
      </c>
      <c r="Y69" s="1395" t="str">
        <f t="shared" si="16"/>
        <v>n.v.t</v>
      </c>
      <c r="Z69" s="154">
        <v>11</v>
      </c>
      <c r="AR69" s="1441"/>
    </row>
    <row r="70" spans="1:44" ht="15" thickBot="1" x14ac:dyDescent="0.35">
      <c r="A70" s="30" t="s">
        <v>415</v>
      </c>
      <c r="B70" s="244" t="s">
        <v>251</v>
      </c>
      <c r="C70" s="61" t="str">
        <f>C24</f>
        <v>Maand</v>
      </c>
      <c r="D70" s="1503" t="s">
        <v>153</v>
      </c>
      <c r="E70" s="66" t="str">
        <f>E24</f>
        <v>Maand</v>
      </c>
      <c r="F70" s="61" t="s">
        <v>526</v>
      </c>
      <c r="G70" s="1947" t="s">
        <v>362</v>
      </c>
      <c r="H70" s="1948"/>
      <c r="I70" s="1948"/>
      <c r="J70" s="1949"/>
      <c r="K70" s="2"/>
      <c r="L70" s="72">
        <v>2</v>
      </c>
      <c r="M70" s="508">
        <f t="shared" si="19"/>
        <v>20385</v>
      </c>
      <c r="N70" s="508">
        <f t="shared" si="28"/>
        <v>34300</v>
      </c>
      <c r="O70" s="74">
        <v>0.36609999999999998</v>
      </c>
      <c r="P70" s="520">
        <f t="shared" si="20"/>
        <v>5094.6475999999993</v>
      </c>
      <c r="Q70" s="508" t="str">
        <f t="shared" si="21"/>
        <v>n.v.t</v>
      </c>
      <c r="R70" s="508" t="str">
        <f t="shared" si="22"/>
        <v>n.v.t</v>
      </c>
      <c r="S70" s="513" t="str">
        <f t="shared" si="29"/>
        <v>2: 20385 t/m 34300 tarief: 36,61% - Max. 5095</v>
      </c>
      <c r="T70" s="508" t="str">
        <f t="shared" si="23"/>
        <v>n.v.t</v>
      </c>
      <c r="U70" s="508" t="str">
        <f t="shared" si="24"/>
        <v>n.v.t</v>
      </c>
      <c r="V70" s="1409" t="str">
        <f t="shared" si="25"/>
        <v>n.v.t</v>
      </c>
      <c r="W70" s="1410" t="str">
        <f t="shared" si="26"/>
        <v>n.v.t</v>
      </c>
      <c r="X70" s="1409" t="str">
        <f t="shared" si="27"/>
        <v>n.v.t</v>
      </c>
      <c r="Y70" s="1410" t="str">
        <f t="shared" si="16"/>
        <v>n.v.t</v>
      </c>
      <c r="Z70" s="71">
        <v>12</v>
      </c>
      <c r="AQ70" s="270"/>
      <c r="AR70" s="1441"/>
    </row>
    <row r="71" spans="1:44" x14ac:dyDescent="0.3">
      <c r="A71" s="157">
        <v>49</v>
      </c>
      <c r="B71" s="1505" t="s">
        <v>95</v>
      </c>
      <c r="C71" s="541">
        <v>0</v>
      </c>
      <c r="D71" s="1212">
        <f>IF(Basisgegevens!C$24="Maand",C71*12,IF(Basisgegevens!C$24="4 Weken",C71*13,0))</f>
        <v>0</v>
      </c>
      <c r="E71" s="1206">
        <v>0</v>
      </c>
      <c r="F71" s="1213">
        <f>IF(Basisgegevens!E$24="Maand",E71*12,IF(Basisgegevens!E$24="4 Weken",E71*13,0))</f>
        <v>0</v>
      </c>
      <c r="G71" s="2134" t="s">
        <v>730</v>
      </c>
      <c r="H71" s="2115"/>
      <c r="I71" s="2115"/>
      <c r="J71" s="2116"/>
      <c r="K71" s="2"/>
      <c r="L71" s="157">
        <v>3</v>
      </c>
      <c r="M71" s="522">
        <f>N70+1</f>
        <v>34301</v>
      </c>
      <c r="N71" s="158">
        <v>68507</v>
      </c>
      <c r="O71" s="159">
        <v>0.38100000000000001</v>
      </c>
      <c r="P71" s="521">
        <f>O71*(N71-N70)</f>
        <v>13032.867</v>
      </c>
      <c r="Q71" s="522" t="str">
        <f>IF(AND(C$10="Ja",YEAR(C$9)=$C$16),IF($N$3&lt;$M71,0,IF($N$3&gt;$N71,($N71-$N70)*$O71,($N$3-$N$59)*$O71)),"n.v.t")</f>
        <v>n.v.t</v>
      </c>
      <c r="R71" s="522" t="str">
        <f>IF(AND(D$10="Ja",YEAR(D$9)=$C$16),IF($R$3&lt;$M71,0,IF($R$3&gt;$N71,($N71-$N70)*$O71,($R$3-$N$59)*$O71)),"n.v.t")</f>
        <v>n.v.t</v>
      </c>
      <c r="S71" s="523" t="str">
        <f>CONCATENATE(L71,": ",M71," t/m ",N71," tarief: ",(O71*100),"% - Max. ",ROUND(P71,0))</f>
        <v>3: 34301 t/m 68507 tarief: 38,1% - Max. 13033</v>
      </c>
      <c r="T71" s="522" t="str">
        <f>IF(AND(C$10="Ja",YEAR(C$9)=$C$16),IF($T$3&lt;$M71,0,IF($T$3&gt;$N71,($N71-$N70)*$O71,($T$3-$N$59)*$O71)),"n.v.t")</f>
        <v>n.v.t</v>
      </c>
      <c r="U71" s="522" t="str">
        <f>IF(AND(D$10="Ja",YEAR(D$9)=$C$16),IF($U$3&lt;$M71,0,IF($U$3&gt;$N71,($N71-$N70)*$O71,($U$3-$N$59)*$O71)),"n.v.t")</f>
        <v>n.v.t</v>
      </c>
      <c r="V71" s="1405" t="str">
        <f>IF(AND(C$10="Ja",YEAR(C$9)=$C$16),IF($V$4&lt;$M71,0,IF($V$4&gt;$N71,($N71-$N70)*$O71,($V$4-$N$59)*$O71)),"n.v.t")</f>
        <v>n.v.t</v>
      </c>
      <c r="W71" s="1406" t="str">
        <f>IF(AND(D$10="Ja",YEAR(D$9)=$C$16),IF($W$4&lt;$M71,0,IF($W$4&gt;$N71,($N71-$N70)*$O71,($W$4-$N$59)*$O71)),"n.v.t")</f>
        <v>n.v.t</v>
      </c>
      <c r="X71" s="1405" t="str">
        <f>IF(AND(D$10="Ja",YEAR(D$9)=$C$16),IF($X$4&lt;M71-(SUM(Y$47:Y70)-SUM(X$47:X70))-P71,0,IF($X$4&gt;N71-(SUM(Y$47:Y70)-SUM(X$47:X70))-P71,N71-M71-P71,$X$4-SUM(X$47:X70))),"n.v.t")</f>
        <v>n.v.t</v>
      </c>
      <c r="Y71" s="1406" t="str">
        <f t="shared" si="16"/>
        <v>n.v.t</v>
      </c>
      <c r="Z71" s="155"/>
      <c r="AQ71" s="270"/>
      <c r="AR71" s="1441"/>
    </row>
    <row r="72" spans="1:44" ht="15" thickBot="1" x14ac:dyDescent="0.35">
      <c r="A72" s="155">
        <v>51</v>
      </c>
      <c r="B72" s="1204" t="s">
        <v>416</v>
      </c>
      <c r="C72" s="807">
        <v>0</v>
      </c>
      <c r="D72" s="1205">
        <f t="shared" ref="D72:D78" si="30">IF(C$24="Maand",C72*12,IF(C$24="4 Weken",C72*13,0))</f>
        <v>0</v>
      </c>
      <c r="E72" s="1207">
        <v>0</v>
      </c>
      <c r="F72" s="1210">
        <f t="shared" ref="F72:F78" si="31">IF(E$24="Maand",E72*12,IF(E$24="4 Weken",E72*13,0))</f>
        <v>0</v>
      </c>
      <c r="G72" s="1946" t="s">
        <v>730</v>
      </c>
      <c r="H72" s="1926"/>
      <c r="I72" s="1926"/>
      <c r="J72" s="1927"/>
      <c r="K72" s="2"/>
      <c r="L72" s="72">
        <v>4</v>
      </c>
      <c r="M72" s="508">
        <f>N71+1</f>
        <v>68508</v>
      </c>
      <c r="N72" s="73"/>
      <c r="O72" s="163">
        <v>0.51749999999999996</v>
      </c>
      <c r="P72" s="524">
        <f>IF(Q$44&lt;M72,0,(Q$44-N71)*O72)</f>
        <v>0</v>
      </c>
      <c r="Q72" s="525" t="str">
        <f>IF(AND(C$10="Ja",YEAR(C$9)=$C$16),IF($N$3&lt;$M72,0,($N$3-$N71)*$O72),"n.v.t")</f>
        <v>n.v.t</v>
      </c>
      <c r="R72" s="525" t="str">
        <f>IF(AND(D$10="Ja",YEAR(D$9)=$C$16),IF($R$3&lt;$M72,0,($R$3-$N71)*$O72),"n.v.t")</f>
        <v>n.v.t</v>
      </c>
      <c r="S72" s="513" t="str">
        <f>CONCATENATE(L72,": vanaf ",M72," tarief: ",(O72*100),"%")</f>
        <v>4: vanaf 68508 tarief: 51,75%</v>
      </c>
      <c r="T72" s="525" t="str">
        <f>IF(AND(C$10="Ja",,YEAR(C$9)=$C$16),IF($T$3&lt;$M72,0,($T$3-$N71)*$O72),"n.v.t")</f>
        <v>n.v.t</v>
      </c>
      <c r="U72" s="525" t="str">
        <f>IF(AND(D$10="Ja",YEAR(D$9)=$C$16),IF($U$3&lt;$M72,0,($U$3-$N71)*$O72),"n.v.t")</f>
        <v>n.v.t</v>
      </c>
      <c r="V72" s="1396" t="str">
        <f>IF(AND(C$10="Ja",YEAR(C$9)=$C$16),IF($V$4&lt;$M72,0,($V$4-$N71)*$O72),"n.v.t")</f>
        <v>n.v.t</v>
      </c>
      <c r="W72" s="1397" t="str">
        <f>IF(AND(D$10="Ja",YEAR(D$9)=$C$16),IF($W$4&lt;$M72,0,($W$4-$N71)*$O72),"n.v.t")</f>
        <v>n.v.t</v>
      </c>
      <c r="X72" s="1396" t="str">
        <f>IF(AND(D$10="Ja",YEAR(D$9)=$C$16),IF($X$4&lt;M72-(SUM(Y47:Y71)-SUM(X47:X71)),0,IF($X$4&gt;=M72-SUM(P$15:P33),$X$4-SUM(X$15:X33))),"n.v.t")</f>
        <v>n.v.t</v>
      </c>
      <c r="Y72" s="1397" t="str">
        <f t="shared" si="16"/>
        <v>n.v.t</v>
      </c>
      <c r="Z72" s="71"/>
      <c r="AR72" s="1441"/>
    </row>
    <row r="73" spans="1:44" ht="15" thickBot="1" x14ac:dyDescent="0.35">
      <c r="A73" s="154">
        <v>52</v>
      </c>
      <c r="B73" s="365" t="s">
        <v>486</v>
      </c>
      <c r="C73" s="176">
        <v>0</v>
      </c>
      <c r="D73" s="112">
        <f t="shared" si="30"/>
        <v>0</v>
      </c>
      <c r="E73" s="1208">
        <v>0</v>
      </c>
      <c r="F73" s="1211">
        <f t="shared" si="31"/>
        <v>0</v>
      </c>
      <c r="G73" s="1946" t="s">
        <v>730</v>
      </c>
      <c r="H73" s="1926"/>
      <c r="I73" s="1926"/>
      <c r="J73" s="1927"/>
      <c r="K73" s="2"/>
      <c r="O73" s="2066" t="s">
        <v>320</v>
      </c>
      <c r="P73" s="2067"/>
      <c r="Q73" s="160">
        <f>SUM(Q47:Q72)</f>
        <v>0</v>
      </c>
      <c r="R73" s="161">
        <f>SUM(R47:R72)</f>
        <v>0</v>
      </c>
      <c r="T73" s="160">
        <f t="shared" ref="T73:Y73" si="32">SUM(T47:T72)</f>
        <v>0</v>
      </c>
      <c r="U73" s="160">
        <f t="shared" si="32"/>
        <v>0</v>
      </c>
      <c r="V73" s="1411">
        <f t="shared" si="32"/>
        <v>0</v>
      </c>
      <c r="W73" s="1412">
        <f t="shared" si="32"/>
        <v>0</v>
      </c>
      <c r="X73" s="1411">
        <f t="shared" si="32"/>
        <v>0</v>
      </c>
      <c r="Y73" s="1412">
        <f t="shared" si="32"/>
        <v>0</v>
      </c>
      <c r="Z73" s="1357"/>
      <c r="AR73" s="1441"/>
    </row>
    <row r="74" spans="1:44" ht="15" customHeight="1" x14ac:dyDescent="0.3">
      <c r="A74" s="154">
        <v>53</v>
      </c>
      <c r="B74" s="365" t="s">
        <v>487</v>
      </c>
      <c r="C74" s="176">
        <v>0</v>
      </c>
      <c r="D74" s="112">
        <f t="shared" si="30"/>
        <v>0</v>
      </c>
      <c r="E74" s="1208">
        <v>0</v>
      </c>
      <c r="F74" s="1211">
        <f t="shared" si="31"/>
        <v>0</v>
      </c>
      <c r="G74" s="1946" t="s">
        <v>675</v>
      </c>
      <c r="H74" s="1926"/>
      <c r="I74" s="1926"/>
      <c r="J74" s="1927"/>
      <c r="K74" s="2"/>
      <c r="AQ74" s="270"/>
      <c r="AR74" s="1441"/>
    </row>
    <row r="75" spans="1:44" ht="15" thickBot="1" x14ac:dyDescent="0.35">
      <c r="A75" s="154">
        <v>55</v>
      </c>
      <c r="B75" s="365" t="s">
        <v>99</v>
      </c>
      <c r="C75" s="176">
        <v>0</v>
      </c>
      <c r="D75" s="112">
        <f t="shared" si="30"/>
        <v>0</v>
      </c>
      <c r="E75" s="1208">
        <v>0</v>
      </c>
      <c r="F75" s="1211">
        <f t="shared" si="31"/>
        <v>0</v>
      </c>
      <c r="G75" s="1946" t="s">
        <v>730</v>
      </c>
      <c r="H75" s="1926"/>
      <c r="I75" s="1926"/>
      <c r="J75" s="1927"/>
      <c r="K75" s="2"/>
      <c r="L75" s="2">
        <v>115</v>
      </c>
      <c r="M75" s="103" t="s">
        <v>374</v>
      </c>
      <c r="O75" s="76" t="s">
        <v>224</v>
      </c>
      <c r="AQ75" s="270"/>
      <c r="AR75" s="1441"/>
    </row>
    <row r="76" spans="1:44" ht="15" thickBot="1" x14ac:dyDescent="0.35">
      <c r="A76" s="154">
        <v>56</v>
      </c>
      <c r="B76" s="365" t="s">
        <v>488</v>
      </c>
      <c r="C76" s="176">
        <v>0</v>
      </c>
      <c r="D76" s="112">
        <f t="shared" si="30"/>
        <v>0</v>
      </c>
      <c r="E76" s="1208">
        <v>0</v>
      </c>
      <c r="F76" s="1211">
        <f t="shared" si="31"/>
        <v>0</v>
      </c>
      <c r="G76" s="1946" t="s">
        <v>676</v>
      </c>
      <c r="H76" s="1926"/>
      <c r="I76" s="1926"/>
      <c r="J76" s="1927"/>
      <c r="K76" s="2"/>
      <c r="O76" s="2075" t="s">
        <v>198</v>
      </c>
      <c r="P76" s="2076"/>
      <c r="Q76" s="61" t="str">
        <f>$C$4</f>
        <v>AP</v>
      </c>
      <c r="R76" s="156" t="str">
        <f>$D$4</f>
        <v>AG</v>
      </c>
      <c r="S76" s="141"/>
      <c r="AR76" s="1441"/>
    </row>
    <row r="77" spans="1:44" ht="14.4" customHeight="1" thickBot="1" x14ac:dyDescent="0.35">
      <c r="A77" s="154">
        <v>57</v>
      </c>
      <c r="B77" s="365" t="s">
        <v>905</v>
      </c>
      <c r="C77" s="176">
        <v>0</v>
      </c>
      <c r="D77" s="112">
        <f t="shared" si="30"/>
        <v>0</v>
      </c>
      <c r="E77" s="1208">
        <v>0</v>
      </c>
      <c r="F77" s="1211">
        <f t="shared" si="31"/>
        <v>0</v>
      </c>
      <c r="G77" s="1946"/>
      <c r="H77" s="1926"/>
      <c r="I77" s="1926"/>
      <c r="J77" s="1927"/>
      <c r="K77" s="2"/>
      <c r="O77" s="2095">
        <v>429</v>
      </c>
      <c r="P77" s="2096"/>
      <c r="Q77" s="1821" t="str">
        <f>IF(AND(YEAR($C$9)&lt;=$C$16,Q80="Ja"),$O77,"n.v.t")</f>
        <v>n.v.t</v>
      </c>
      <c r="R77" s="1821" t="str">
        <f>IF(AND(YEAR($D$9)&lt;=$C$16,R80="Ja"),$O77,"n.v.t")</f>
        <v>n.v.t</v>
      </c>
      <c r="S77" s="141"/>
      <c r="AR77" s="1441"/>
    </row>
    <row r="78" spans="1:44" ht="15" thickBot="1" x14ac:dyDescent="0.35">
      <c r="A78" s="71">
        <v>58</v>
      </c>
      <c r="B78" s="382" t="s">
        <v>489</v>
      </c>
      <c r="C78" s="177">
        <v>0</v>
      </c>
      <c r="D78" s="113">
        <f t="shared" si="30"/>
        <v>0</v>
      </c>
      <c r="E78" s="1209">
        <v>0</v>
      </c>
      <c r="F78" s="545">
        <f t="shared" si="31"/>
        <v>0</v>
      </c>
      <c r="G78" s="1953"/>
      <c r="H78" s="1954"/>
      <c r="I78" s="1954"/>
      <c r="J78" s="1955"/>
      <c r="O78" s="2187" t="s">
        <v>318</v>
      </c>
      <c r="P78" s="2188"/>
      <c r="Q78" s="1822">
        <f>YEAR($C$9)</f>
        <v>1900</v>
      </c>
      <c r="R78" s="1814">
        <f>YEAR($D$9)</f>
        <v>1900</v>
      </c>
      <c r="AR78" s="1441"/>
    </row>
    <row r="79" spans="1:44" ht="15" thickBot="1" x14ac:dyDescent="0.35">
      <c r="O79" s="2073" t="s">
        <v>317</v>
      </c>
      <c r="P79" s="2074"/>
      <c r="Q79" s="1823">
        <f>$C$16</f>
        <v>2019</v>
      </c>
      <c r="R79" s="1815">
        <f>$C$16</f>
        <v>2019</v>
      </c>
    </row>
    <row r="80" spans="1:44" ht="15" thickBot="1" x14ac:dyDescent="0.35">
      <c r="A80" s="30" t="s">
        <v>415</v>
      </c>
      <c r="B80" s="244" t="s">
        <v>943</v>
      </c>
      <c r="C80" s="61">
        <f>C34</f>
        <v>0</v>
      </c>
      <c r="D80" s="1854" t="s">
        <v>153</v>
      </c>
      <c r="E80" s="66">
        <f>E34</f>
        <v>0</v>
      </c>
      <c r="F80" s="61" t="s">
        <v>526</v>
      </c>
      <c r="M80" s="2155" t="s">
        <v>219</v>
      </c>
      <c r="N80" s="2156"/>
      <c r="O80" s="2181"/>
      <c r="P80" s="2181"/>
      <c r="Q80" s="554" t="s">
        <v>165</v>
      </c>
      <c r="R80" s="554" t="s">
        <v>165</v>
      </c>
      <c r="S80" s="141"/>
    </row>
    <row r="81" spans="1:40" ht="15" thickBot="1" x14ac:dyDescent="0.35">
      <c r="A81" s="1855">
        <v>60</v>
      </c>
      <c r="B81" s="1853" t="s">
        <v>932</v>
      </c>
      <c r="C81" s="117">
        <v>0</v>
      </c>
      <c r="D81" s="1856">
        <f>C81</f>
        <v>0</v>
      </c>
      <c r="E81" s="1857">
        <v>0</v>
      </c>
      <c r="F81" s="1858">
        <f>E81</f>
        <v>0</v>
      </c>
      <c r="G81" s="1947" t="s">
        <v>362</v>
      </c>
      <c r="H81" s="1948"/>
      <c r="I81" s="1948"/>
      <c r="J81" s="1949"/>
      <c r="M81" s="2157" t="s">
        <v>226</v>
      </c>
      <c r="N81" s="2182"/>
      <c r="O81" s="2182"/>
      <c r="P81" s="2182"/>
      <c r="Q81" s="2182"/>
      <c r="R81" s="2182"/>
      <c r="S81" s="2183"/>
    </row>
    <row r="82" spans="1:40" x14ac:dyDescent="0.3">
      <c r="C82" s="1859" t="s">
        <v>933</v>
      </c>
      <c r="E82" s="1859" t="s">
        <v>933</v>
      </c>
      <c r="F82" s="1852"/>
      <c r="G82" s="1966" t="s">
        <v>934</v>
      </c>
      <c r="H82" s="1967"/>
      <c r="I82" s="1967"/>
      <c r="J82" s="1968"/>
      <c r="M82" s="2178" t="s">
        <v>910</v>
      </c>
      <c r="N82" s="2179"/>
      <c r="O82" s="2179"/>
      <c r="P82" s="2179"/>
      <c r="Q82" s="2179"/>
      <c r="R82" s="2179"/>
      <c r="S82" s="2180"/>
    </row>
    <row r="83" spans="1:40" ht="15" thickBot="1" x14ac:dyDescent="0.35">
      <c r="G83" s="1969"/>
      <c r="H83" s="1970"/>
      <c r="I83" s="1970"/>
      <c r="J83" s="1971"/>
      <c r="M83" s="2178" t="s">
        <v>227</v>
      </c>
      <c r="N83" s="2179"/>
      <c r="O83" s="2179"/>
      <c r="P83" s="2179"/>
      <c r="Q83" s="2179"/>
      <c r="R83" s="2179"/>
      <c r="S83" s="2180"/>
    </row>
    <row r="84" spans="1:40" ht="15" thickBot="1" x14ac:dyDescent="0.35">
      <c r="G84" s="1966" t="s">
        <v>935</v>
      </c>
      <c r="H84" s="1967"/>
      <c r="I84" s="1967"/>
      <c r="J84" s="1968"/>
      <c r="M84" s="2184" t="s">
        <v>228</v>
      </c>
      <c r="N84" s="2185"/>
      <c r="O84" s="2185"/>
      <c r="P84" s="2185"/>
      <c r="Q84" s="2185"/>
      <c r="R84" s="2185"/>
      <c r="S84" s="2186"/>
    </row>
    <row r="85" spans="1:40" ht="15" thickBot="1" x14ac:dyDescent="0.35">
      <c r="A85" s="379"/>
      <c r="B85" s="797" t="s">
        <v>579</v>
      </c>
      <c r="C85" s="144" t="str">
        <f>$C$4</f>
        <v>AP</v>
      </c>
      <c r="D85" s="102"/>
      <c r="E85" s="61" t="str">
        <f>$D$4</f>
        <v>AG</v>
      </c>
      <c r="G85" s="1969"/>
      <c r="H85" s="1970"/>
      <c r="I85" s="1970"/>
      <c r="J85" s="1971"/>
      <c r="Q85" s="142"/>
      <c r="R85" s="142"/>
    </row>
    <row r="86" spans="1:40" ht="15" thickBot="1" x14ac:dyDescent="0.35">
      <c r="B86" s="652" t="s">
        <v>583</v>
      </c>
      <c r="C86" s="100" t="s">
        <v>150</v>
      </c>
      <c r="D86" s="795" t="s">
        <v>583</v>
      </c>
      <c r="E86" s="100" t="s">
        <v>150</v>
      </c>
      <c r="F86" s="562"/>
      <c r="L86" s="1178">
        <v>115</v>
      </c>
      <c r="M86" s="1197" t="s">
        <v>717</v>
      </c>
    </row>
    <row r="87" spans="1:40" ht="15" thickBot="1" x14ac:dyDescent="0.35">
      <c r="A87" s="99" t="s">
        <v>415</v>
      </c>
      <c r="B87" s="345" t="s">
        <v>110</v>
      </c>
      <c r="C87" s="61" t="str">
        <f>IF(C86="Maand","Per Maand",IF(C86="4 Weken","Per 4-weken",IF(C86="Anders","Anders","")))</f>
        <v>Per Maand</v>
      </c>
      <c r="D87" s="271" t="s">
        <v>582</v>
      </c>
      <c r="E87" s="61" t="str">
        <f>IF(E86="Maand","Per Maand",IF(E86="4 Weken","Per 4-weken",IF(E86="Anders","Anders","")))</f>
        <v>Per Maand</v>
      </c>
      <c r="F87" s="156" t="s">
        <v>582</v>
      </c>
      <c r="G87" s="2107" t="s">
        <v>362</v>
      </c>
      <c r="H87" s="1983"/>
      <c r="I87" s="1983"/>
      <c r="J87" s="1984"/>
      <c r="M87" s="2157" t="s">
        <v>708</v>
      </c>
      <c r="N87" s="2158"/>
      <c r="O87" s="2158"/>
      <c r="P87" s="2158"/>
      <c r="Q87" s="2158"/>
      <c r="R87" s="2158"/>
      <c r="S87" s="2159"/>
    </row>
    <row r="88" spans="1:40" x14ac:dyDescent="0.3">
      <c r="A88" s="67"/>
      <c r="B88" s="798" t="s">
        <v>580</v>
      </c>
      <c r="C88" s="175">
        <v>0</v>
      </c>
      <c r="D88" s="111">
        <f>IF(C$24="Maand",C88*12,IF(C$24="4 Weken",C88*13,0))</f>
        <v>0</v>
      </c>
      <c r="E88" s="175">
        <v>0</v>
      </c>
      <c r="F88" s="114">
        <f>IF(E$24="Maand",E88*12,IF(E$24="4 Weken",E88*13,0))</f>
        <v>0</v>
      </c>
      <c r="G88" s="2093" t="s">
        <v>687</v>
      </c>
      <c r="H88" s="1986"/>
      <c r="I88" s="1986"/>
      <c r="J88" s="1987"/>
      <c r="M88" s="366" t="s">
        <v>212</v>
      </c>
      <c r="N88" s="369"/>
      <c r="O88" s="369"/>
      <c r="P88" s="369"/>
      <c r="Q88" s="369"/>
      <c r="R88" s="369"/>
      <c r="S88" s="368"/>
    </row>
    <row r="89" spans="1:40" ht="15" customHeight="1" thickBot="1" x14ac:dyDescent="0.35">
      <c r="A89" s="71"/>
      <c r="B89" s="799" t="s">
        <v>581</v>
      </c>
      <c r="C89" s="653">
        <v>0</v>
      </c>
      <c r="D89" s="654">
        <f>IF(C$24="Maand",C89*12,IF(C$24="4 Weken",C89*13,0))</f>
        <v>0</v>
      </c>
      <c r="E89" s="653">
        <v>0</v>
      </c>
      <c r="F89" s="655">
        <f>IF(E$24="Maand",E89*12,IF(E$24="4 Weken",E89*13,0))</f>
        <v>0</v>
      </c>
      <c r="G89" s="2077" t="s">
        <v>687</v>
      </c>
      <c r="H89" s="1954"/>
      <c r="I89" s="1954"/>
      <c r="J89" s="1955"/>
      <c r="M89" s="366" t="s">
        <v>213</v>
      </c>
      <c r="N89" s="369"/>
      <c r="O89" s="369"/>
      <c r="P89" s="369"/>
      <c r="Q89" s="369"/>
      <c r="R89" s="369"/>
      <c r="S89" s="368"/>
    </row>
    <row r="90" spans="1:40" ht="15" thickBot="1" x14ac:dyDescent="0.35">
      <c r="A90" s="384"/>
      <c r="B90" s="247" t="s">
        <v>584</v>
      </c>
      <c r="C90" s="109">
        <f>C88-C89</f>
        <v>0</v>
      </c>
      <c r="D90" s="656">
        <f>D88-D89</f>
        <v>0</v>
      </c>
      <c r="E90" s="109">
        <f>E88-E89</f>
        <v>0</v>
      </c>
      <c r="F90" s="586">
        <f>F88-F89</f>
        <v>0</v>
      </c>
      <c r="M90" s="366" t="s">
        <v>218</v>
      </c>
      <c r="N90" s="367"/>
      <c r="O90" s="367"/>
      <c r="P90" s="367"/>
      <c r="Q90" s="367"/>
      <c r="R90" s="367"/>
      <c r="S90" s="368"/>
      <c r="AA90" s="722"/>
      <c r="AB90" s="54"/>
      <c r="AC90" s="54"/>
      <c r="AD90" s="54"/>
      <c r="AE90" s="54"/>
      <c r="AF90" s="54"/>
      <c r="AG90" s="54"/>
      <c r="AH90" s="722"/>
      <c r="AI90" s="1963" t="s">
        <v>818</v>
      </c>
      <c r="AJ90" s="1964"/>
      <c r="AK90" s="1471" t="s">
        <v>820</v>
      </c>
      <c r="AL90" s="722"/>
      <c r="AM90" s="722"/>
      <c r="AN90" s="722"/>
    </row>
    <row r="91" spans="1:40" x14ac:dyDescent="0.3">
      <c r="M91" s="366" t="s">
        <v>214</v>
      </c>
      <c r="N91" s="369"/>
      <c r="O91" s="369"/>
      <c r="P91" s="369"/>
      <c r="Q91" s="369"/>
      <c r="R91" s="369"/>
      <c r="S91" s="368"/>
    </row>
    <row r="92" spans="1:40" ht="15" thickBot="1" x14ac:dyDescent="0.35">
      <c r="A92" s="379"/>
      <c r="B92" s="238" t="s">
        <v>622</v>
      </c>
      <c r="C92" s="696"/>
      <c r="D92" s="102"/>
      <c r="E92" s="697"/>
      <c r="M92" s="366" t="s">
        <v>215</v>
      </c>
      <c r="N92" s="369"/>
      <c r="O92" s="369"/>
      <c r="P92" s="369"/>
      <c r="Q92" s="369"/>
      <c r="R92" s="369"/>
      <c r="S92" s="368"/>
    </row>
    <row r="93" spans="1:40" ht="15" thickBot="1" x14ac:dyDescent="0.35">
      <c r="A93" s="30" t="s">
        <v>415</v>
      </c>
      <c r="B93" s="677" t="s">
        <v>160</v>
      </c>
      <c r="C93" s="271" t="s">
        <v>568</v>
      </c>
      <c r="D93" s="66" t="str">
        <f>$C$4</f>
        <v>AP</v>
      </c>
      <c r="E93" s="61" t="str">
        <f>$D$4</f>
        <v>AG</v>
      </c>
      <c r="F93" s="1982" t="s">
        <v>571</v>
      </c>
      <c r="G93" s="1983"/>
      <c r="H93" s="1983"/>
      <c r="I93" s="1983"/>
      <c r="J93" s="1984"/>
      <c r="M93" s="366" t="s">
        <v>216</v>
      </c>
      <c r="N93" s="369"/>
      <c r="O93" s="369"/>
      <c r="P93" s="369"/>
      <c r="Q93" s="369"/>
      <c r="R93" s="369"/>
      <c r="S93" s="368"/>
    </row>
    <row r="94" spans="1:40" x14ac:dyDescent="0.3">
      <c r="A94" s="67">
        <v>71</v>
      </c>
      <c r="B94" s="389" t="s">
        <v>698</v>
      </c>
      <c r="C94" s="772">
        <v>7280</v>
      </c>
      <c r="D94" s="774" t="s">
        <v>165</v>
      </c>
      <c r="E94" s="698" t="s">
        <v>165</v>
      </c>
      <c r="F94" s="1985" t="s">
        <v>677</v>
      </c>
      <c r="G94" s="1986"/>
      <c r="H94" s="1986"/>
      <c r="I94" s="1986"/>
      <c r="J94" s="1987"/>
      <c r="M94" s="366" t="s">
        <v>217</v>
      </c>
      <c r="N94" s="369"/>
      <c r="O94" s="369"/>
      <c r="P94" s="369"/>
      <c r="Q94" s="369"/>
      <c r="R94" s="369"/>
      <c r="S94" s="368"/>
    </row>
    <row r="95" spans="1:40" ht="15" thickBot="1" x14ac:dyDescent="0.35">
      <c r="A95" s="71">
        <v>71</v>
      </c>
      <c r="B95" s="348" t="s">
        <v>699</v>
      </c>
      <c r="C95" s="773">
        <v>2123</v>
      </c>
      <c r="D95" s="775" t="s">
        <v>165</v>
      </c>
      <c r="E95" s="709" t="s">
        <v>165</v>
      </c>
      <c r="F95" s="1953" t="s">
        <v>678</v>
      </c>
      <c r="G95" s="1954"/>
      <c r="H95" s="1954"/>
      <c r="I95" s="1954"/>
      <c r="J95" s="1955"/>
      <c r="M95" s="370" t="s">
        <v>707</v>
      </c>
      <c r="N95" s="371"/>
      <c r="O95" s="371"/>
      <c r="P95" s="371"/>
      <c r="Q95" s="371"/>
      <c r="R95" s="371"/>
      <c r="S95" s="372"/>
    </row>
    <row r="96" spans="1:40" ht="15" thickBot="1" x14ac:dyDescent="0.35">
      <c r="M96" s="2155" t="s">
        <v>219</v>
      </c>
      <c r="N96" s="2156"/>
      <c r="O96" s="2156"/>
      <c r="P96" s="2156"/>
      <c r="Q96" s="55" t="s">
        <v>165</v>
      </c>
      <c r="R96" s="55" t="s">
        <v>165</v>
      </c>
      <c r="S96" s="1175" t="s">
        <v>220</v>
      </c>
    </row>
    <row r="97" spans="1:44" ht="16.2" thickBot="1" x14ac:dyDescent="0.35">
      <c r="A97" s="379"/>
      <c r="B97" s="238" t="s">
        <v>622</v>
      </c>
      <c r="C97" s="696"/>
      <c r="D97" s="102"/>
      <c r="E97" s="697"/>
      <c r="M97" s="1989" t="str">
        <f>CONCATENATE("Als één van beiden in ",C16," de AOW leeftijd bereikt gelden speciale tarieven, hiervoor moet een aanvraag worden ingediend !!!")</f>
        <v>Als één van beiden in 2019 de AOW leeftijd bereikt gelden speciale tarieven, hiervoor moet een aanvraag worden ingediend !!!</v>
      </c>
      <c r="N97" s="1990"/>
      <c r="O97" s="1990"/>
      <c r="P97" s="1990"/>
      <c r="Q97" s="1990"/>
      <c r="R97" s="1990"/>
      <c r="S97" s="1990"/>
      <c r="X97" s="1475"/>
      <c r="Y97" s="1475"/>
    </row>
    <row r="98" spans="1:44" ht="15" thickBot="1" x14ac:dyDescent="0.35">
      <c r="A98" s="30" t="s">
        <v>415</v>
      </c>
      <c r="B98" s="677" t="s">
        <v>160</v>
      </c>
      <c r="C98" s="271" t="s">
        <v>568</v>
      </c>
      <c r="D98" s="66" t="str">
        <f>$C$4</f>
        <v>AP</v>
      </c>
      <c r="E98" s="61" t="str">
        <f>$D$4</f>
        <v>AG</v>
      </c>
      <c r="F98" s="1982" t="s">
        <v>571</v>
      </c>
      <c r="G98" s="1983"/>
      <c r="H98" s="1983"/>
      <c r="I98" s="1983"/>
      <c r="J98" s="1984"/>
      <c r="T98" s="1504"/>
      <c r="U98" s="1504"/>
    </row>
    <row r="99" spans="1:44" ht="15" thickBot="1" x14ac:dyDescent="0.35">
      <c r="A99" s="67"/>
      <c r="B99" s="1229" t="s">
        <v>619</v>
      </c>
      <c r="C99" s="772">
        <v>12775</v>
      </c>
      <c r="D99" s="774" t="s">
        <v>165</v>
      </c>
      <c r="E99" s="698" t="s">
        <v>165</v>
      </c>
      <c r="F99" s="1985" t="s">
        <v>678</v>
      </c>
      <c r="G99" s="1986"/>
      <c r="H99" s="1986"/>
      <c r="I99" s="1986"/>
      <c r="J99" s="1987"/>
      <c r="L99" s="2">
        <v>115</v>
      </c>
      <c r="M99" s="103" t="s">
        <v>462</v>
      </c>
      <c r="O99" s="76" t="s">
        <v>207</v>
      </c>
      <c r="T99" s="1963" t="s">
        <v>818</v>
      </c>
      <c r="U99" s="1964"/>
    </row>
    <row r="100" spans="1:44" ht="15" thickBot="1" x14ac:dyDescent="0.35">
      <c r="A100" s="71"/>
      <c r="B100" s="771" t="s">
        <v>620</v>
      </c>
      <c r="C100" s="773">
        <v>6391</v>
      </c>
      <c r="D100" s="775" t="s">
        <v>165</v>
      </c>
      <c r="E100" s="709" t="s">
        <v>165</v>
      </c>
      <c r="F100" s="1953" t="s">
        <v>677</v>
      </c>
      <c r="G100" s="1954"/>
      <c r="H100" s="1954"/>
      <c r="I100" s="1954"/>
      <c r="J100" s="1955"/>
      <c r="M100" s="274" t="str">
        <f>CONCATENATE("AOW leeftijd wordt in ",$C$16," nog NIET bereikt")</f>
        <v>AOW leeftijd wordt in 2019 nog NIET bereikt</v>
      </c>
      <c r="P100" s="207" t="s">
        <v>314</v>
      </c>
      <c r="Q100" s="95">
        <f>('Alimentatie 2019-2 (Juli)'!$E$29+'Alimentatie 2019-2 (Juli)'!$E$57+'Alimentatie 2019-2 (Juli)'!$E$68-'Alimentatie 2019-2 (Juli)'!E8)</f>
        <v>0</v>
      </c>
      <c r="R100" s="96">
        <f>('Alimentatie 2019-2 (Juli)'!$G$29+'Alimentatie 2019-2 (Juli)'!$G$57+'Alimentatie 2019-2 (Juli)'!$G$68-'Alimentatie 2019-2 (Juli)'!G8)</f>
        <v>0</v>
      </c>
      <c r="S100" s="139" t="s">
        <v>907</v>
      </c>
      <c r="T100" s="1467">
        <f>Q100-Jusvergelijking!$H$12-(12*'Alimentatie 2019-2 (Juli)'!E$234)</f>
        <v>0</v>
      </c>
      <c r="U100" s="1466">
        <f>R100+Jusvergelijking!$H$12-(12*'Alimentatie 2019-2 (Juli)'!G$234)</f>
        <v>0</v>
      </c>
      <c r="V100" s="139" t="s">
        <v>908</v>
      </c>
    </row>
    <row r="101" spans="1:44" s="742" customFormat="1" ht="15" thickBot="1" x14ac:dyDescent="0.35">
      <c r="A101" s="802">
        <v>72</v>
      </c>
      <c r="B101" s="2040" t="s">
        <v>621</v>
      </c>
      <c r="C101" s="2041"/>
      <c r="D101" s="1231">
        <f>IF(AND(D$99="Ja",D$100="Ja"),$C$99+$C$100,IF(AND(D$99="Ja",D$100="Nee"),$C$99,IF(AND(D$99="Nee",D$100="Ja"),$C$100,0)))</f>
        <v>0</v>
      </c>
      <c r="E101" s="1231">
        <f>IF(AND(E$99="Ja",E$100="Ja"),$C$99+$C$100,IF(AND(E$99="Ja",E$100="Nee"),$C$99,IF(AND(E$99="Nee",E$100="Ja"),$C$100,0)))</f>
        <v>0</v>
      </c>
      <c r="F101" s="2"/>
      <c r="G101" s="2"/>
      <c r="H101" s="2"/>
      <c r="I101" s="2"/>
      <c r="J101" s="265"/>
      <c r="K101" s="373"/>
      <c r="L101" s="2"/>
      <c r="M101" s="44" t="s">
        <v>197</v>
      </c>
      <c r="N101" s="45" t="s">
        <v>106</v>
      </c>
      <c r="O101" s="83" t="s">
        <v>198</v>
      </c>
      <c r="P101" s="84" t="s">
        <v>120</v>
      </c>
      <c r="Q101" s="61" t="str">
        <f>$C$4</f>
        <v>AP</v>
      </c>
      <c r="R101" s="156" t="str">
        <f>$D$4</f>
        <v>AG</v>
      </c>
      <c r="S101" s="273" t="s">
        <v>203</v>
      </c>
      <c r="T101" s="61" t="str">
        <f>$C$4</f>
        <v>AP</v>
      </c>
      <c r="U101" s="156" t="str">
        <f>$D$4</f>
        <v>AG</v>
      </c>
      <c r="V101" s="1357"/>
      <c r="W101" s="2"/>
    </row>
    <row r="102" spans="1:44" s="742" customFormat="1" x14ac:dyDescent="0.3">
      <c r="A102" s="54"/>
      <c r="B102" s="116"/>
      <c r="C102" s="60"/>
      <c r="D102" s="60"/>
      <c r="E102" s="2"/>
      <c r="F102" s="2"/>
      <c r="G102" s="2"/>
      <c r="H102" s="2"/>
      <c r="I102" s="2"/>
      <c r="J102" s="265"/>
      <c r="K102" s="373"/>
      <c r="L102" s="2"/>
      <c r="M102" s="37">
        <v>0</v>
      </c>
      <c r="N102" s="38">
        <v>4993</v>
      </c>
      <c r="O102" s="39"/>
      <c r="P102" s="85"/>
      <c r="Q102" s="1683">
        <v>0</v>
      </c>
      <c r="R102" s="1684">
        <v>0</v>
      </c>
      <c r="S102" s="91" t="s">
        <v>208</v>
      </c>
      <c r="T102" s="1679">
        <v>0</v>
      </c>
      <c r="U102" s="1679">
        <v>0</v>
      </c>
      <c r="V102" s="1357"/>
      <c r="W102" s="2"/>
    </row>
    <row r="103" spans="1:44" ht="15" thickBot="1" x14ac:dyDescent="0.35">
      <c r="A103" s="463">
        <v>73</v>
      </c>
      <c r="B103" s="704" t="s">
        <v>19</v>
      </c>
      <c r="C103" s="699"/>
      <c r="M103" s="1685">
        <f>N102</f>
        <v>4993</v>
      </c>
      <c r="N103" s="40">
        <v>29752</v>
      </c>
      <c r="O103" s="46">
        <v>0</v>
      </c>
      <c r="P103" s="86">
        <v>0.1145</v>
      </c>
      <c r="Q103" s="1277">
        <f>IF(AND($Q$100&gt;$M103,$Q$100&lt;=$N103),O103+$P103*($Q$100-M103),0)</f>
        <v>0</v>
      </c>
      <c r="R103" s="1681" t="str">
        <f>IF(AND($R$100&gt;$M103,$R$100&lt;=$N103),$P103*($R$100-M103),"--")</f>
        <v>--</v>
      </c>
      <c r="S103" s="93" t="s">
        <v>209</v>
      </c>
      <c r="T103" s="701">
        <f>IF(AND($T$100&gt;$M103,$T$100&lt;=$N103),O103+$P103*($T$100-M103),0)</f>
        <v>0</v>
      </c>
      <c r="U103" s="701" t="str">
        <f>IF(AND($U$100&gt;$M103,$U$100&lt;=$N103),$P103*($U$100-M103),"--")</f>
        <v>--</v>
      </c>
    </row>
    <row r="104" spans="1:44" ht="15" thickBot="1" x14ac:dyDescent="0.35">
      <c r="A104" s="145" t="s">
        <v>415</v>
      </c>
      <c r="B104" s="705" t="s">
        <v>623</v>
      </c>
      <c r="C104" s="707" t="s">
        <v>629</v>
      </c>
      <c r="D104" s="66" t="str">
        <f>$C$4</f>
        <v>AP</v>
      </c>
      <c r="E104" s="61" t="str">
        <f>$D$4</f>
        <v>AG</v>
      </c>
      <c r="F104" s="2017" t="s">
        <v>571</v>
      </c>
      <c r="G104" s="2018"/>
      <c r="H104" s="2018"/>
      <c r="I104" s="2018"/>
      <c r="J104" s="2019"/>
      <c r="M104" s="1686">
        <f>N103</f>
        <v>29752</v>
      </c>
      <c r="N104" s="41">
        <v>0</v>
      </c>
      <c r="O104" s="41">
        <v>2835</v>
      </c>
      <c r="P104" s="88"/>
      <c r="Q104" s="1278" t="str">
        <f>IF($Q$100&gt;$M104,$O104,"--")</f>
        <v>--</v>
      </c>
      <c r="R104" s="1682">
        <f>IF($R$100&gt;$M104,$O104,0)</f>
        <v>0</v>
      </c>
      <c r="S104" s="94" t="s">
        <v>210</v>
      </c>
      <c r="T104" s="1680" t="str">
        <f>IF($T$100&gt;$M104,$O104,"--")</f>
        <v>--</v>
      </c>
      <c r="U104" s="1680">
        <f>IF($U$100&gt;$M104,$O104,0)</f>
        <v>0</v>
      </c>
    </row>
    <row r="105" spans="1:44" ht="15" thickBot="1" x14ac:dyDescent="0.35">
      <c r="A105" s="149">
        <v>1</v>
      </c>
      <c r="B105" s="195" t="s">
        <v>624</v>
      </c>
      <c r="C105" s="708">
        <v>0</v>
      </c>
      <c r="D105" s="698" t="s">
        <v>165</v>
      </c>
      <c r="E105" s="698" t="s">
        <v>165</v>
      </c>
      <c r="F105" s="2080" t="s">
        <v>677</v>
      </c>
      <c r="G105" s="2080"/>
      <c r="H105" s="2080"/>
      <c r="I105" s="2080"/>
      <c r="J105" s="1994"/>
      <c r="M105" s="1923" t="s">
        <v>199</v>
      </c>
      <c r="N105" s="2094"/>
      <c r="O105" s="2094"/>
      <c r="P105" s="2097"/>
      <c r="Q105" s="90" t="str">
        <f>IF($Q$96="Ja",IF($C$10="Ja","zie AOW-tabel",SUM(Q102:Q104)),"n.v.t")</f>
        <v>n.v.t</v>
      </c>
      <c r="R105" s="90" t="str">
        <f>IF($R$96="Ja",IF($D$10="Ja","zie AOW-tabel",SUM(R102:R104)),"n.v.t")</f>
        <v>n.v.t</v>
      </c>
      <c r="T105" s="95" t="str">
        <f>IF($Q$96="Ja",IF($C$10="Ja","zie AOW-tabel",SUM(T102:T104)),"n.v.t")</f>
        <v>n.v.t</v>
      </c>
      <c r="U105" s="134" t="str">
        <f>IF($R$96="Ja",IF($D$10="Ja","zie AOW-tabel",SUM(U102:U104)),"n.v.t")</f>
        <v>n.v.t</v>
      </c>
      <c r="AR105" s="1441"/>
    </row>
    <row r="106" spans="1:44" x14ac:dyDescent="0.3">
      <c r="A106" s="68">
        <v>2</v>
      </c>
      <c r="B106" s="188" t="s">
        <v>625</v>
      </c>
      <c r="C106" s="119">
        <v>1.2500000000000001E-2</v>
      </c>
      <c r="D106" s="216" t="s">
        <v>165</v>
      </c>
      <c r="E106" s="216" t="s">
        <v>165</v>
      </c>
      <c r="F106" s="2081"/>
      <c r="G106" s="2081"/>
      <c r="H106" s="2081"/>
      <c r="I106" s="2081"/>
      <c r="J106" s="2082"/>
      <c r="AR106" s="1441"/>
    </row>
    <row r="107" spans="1:44" ht="15" thickBot="1" x14ac:dyDescent="0.35">
      <c r="A107" s="68">
        <v>3</v>
      </c>
      <c r="B107" s="188" t="s">
        <v>626</v>
      </c>
      <c r="C107" s="119">
        <v>0.02</v>
      </c>
      <c r="D107" s="216" t="s">
        <v>165</v>
      </c>
      <c r="E107" s="216" t="s">
        <v>165</v>
      </c>
      <c r="F107" s="2081"/>
      <c r="G107" s="2081"/>
      <c r="H107" s="2081"/>
      <c r="I107" s="2081"/>
      <c r="J107" s="2082"/>
      <c r="M107" s="103" t="s">
        <v>461</v>
      </c>
      <c r="O107" s="76" t="s">
        <v>207</v>
      </c>
      <c r="AR107" s="1441"/>
    </row>
    <row r="108" spans="1:44" ht="15" thickBot="1" x14ac:dyDescent="0.35">
      <c r="A108" s="68">
        <v>4</v>
      </c>
      <c r="B108" s="188" t="s">
        <v>627</v>
      </c>
      <c r="C108" s="119">
        <v>0.03</v>
      </c>
      <c r="D108" s="216" t="s">
        <v>165</v>
      </c>
      <c r="E108" s="216" t="s">
        <v>165</v>
      </c>
      <c r="F108" s="2081"/>
      <c r="G108" s="2081"/>
      <c r="H108" s="2081"/>
      <c r="I108" s="2081"/>
      <c r="J108" s="2082"/>
      <c r="M108" s="274" t="str">
        <f>CONCATENATE("AOW leeftijd is VOOR ",$C$16," al bereikt")</f>
        <v>AOW leeftijd is VOOR 2019 al bereikt</v>
      </c>
      <c r="P108" s="139"/>
      <c r="Q108" s="139"/>
      <c r="R108" s="139"/>
      <c r="S108" s="139"/>
      <c r="T108" s="1963" t="s">
        <v>818</v>
      </c>
      <c r="U108" s="1964"/>
      <c r="V108" s="1475"/>
      <c r="W108" s="1475"/>
      <c r="AR108" s="1441"/>
    </row>
    <row r="109" spans="1:44" ht="15" thickBot="1" x14ac:dyDescent="0.35">
      <c r="A109" s="72">
        <v>5</v>
      </c>
      <c r="B109" s="706" t="s">
        <v>628</v>
      </c>
      <c r="C109" s="120">
        <v>0.04</v>
      </c>
      <c r="D109" s="709" t="s">
        <v>165</v>
      </c>
      <c r="E109" s="709" t="s">
        <v>165</v>
      </c>
      <c r="F109" s="2083"/>
      <c r="G109" s="2083"/>
      <c r="H109" s="2083"/>
      <c r="I109" s="2083"/>
      <c r="J109" s="2084"/>
      <c r="M109" s="44" t="s">
        <v>197</v>
      </c>
      <c r="N109" s="45" t="s">
        <v>106</v>
      </c>
      <c r="O109" s="83" t="s">
        <v>198</v>
      </c>
      <c r="P109" s="268" t="s">
        <v>120</v>
      </c>
      <c r="Q109" s="61" t="str">
        <f>$C$4</f>
        <v>AP</v>
      </c>
      <c r="R109" s="156" t="str">
        <f>$D$4</f>
        <v>AG</v>
      </c>
      <c r="S109" s="273" t="s">
        <v>203</v>
      </c>
      <c r="T109" s="61" t="str">
        <f>$C$4</f>
        <v>AP</v>
      </c>
      <c r="U109" s="156" t="str">
        <f>$D$4</f>
        <v>AG</v>
      </c>
      <c r="V109" s="1475"/>
      <c r="W109" s="1475"/>
      <c r="AR109" s="1441"/>
    </row>
    <row r="110" spans="1:44" ht="15" thickBot="1" x14ac:dyDescent="0.35">
      <c r="A110" s="384"/>
      <c r="B110" s="2137" t="s">
        <v>630</v>
      </c>
      <c r="C110" s="2138"/>
      <c r="D110" s="728">
        <f>IF(D109="Ja",$C109,IF(D108="Ja",$C108,IF(D107="Ja",$C107,IF(D106="Ja",$C106,IF(D105="Ja",$C105,0)))))</f>
        <v>0</v>
      </c>
      <c r="E110" s="728">
        <f>IF(E109="Ja",$C109,IF(E108="Ja",$C108,IF(E107="Ja",$C107,IF(E106="Ja",$C106,IF(E105="Ja",$C105,0)))))</f>
        <v>0</v>
      </c>
      <c r="K110" s="742"/>
      <c r="M110" s="37">
        <v>0</v>
      </c>
      <c r="N110" s="38">
        <v>4993</v>
      </c>
      <c r="O110" s="39"/>
      <c r="P110" s="85"/>
      <c r="Q110" s="97">
        <v>0</v>
      </c>
      <c r="R110" s="98">
        <v>0</v>
      </c>
      <c r="S110" s="91" t="s">
        <v>208</v>
      </c>
      <c r="T110" s="1679">
        <v>0</v>
      </c>
      <c r="U110" s="1679">
        <v>0</v>
      </c>
      <c r="V110" s="1475"/>
      <c r="W110" s="1475"/>
      <c r="AR110" s="1441"/>
    </row>
    <row r="111" spans="1:44" ht="15" customHeight="1" thickBot="1" x14ac:dyDescent="0.35">
      <c r="K111" s="742"/>
      <c r="M111" s="1685">
        <f>N110</f>
        <v>4993</v>
      </c>
      <c r="N111" s="40">
        <v>29752</v>
      </c>
      <c r="O111" s="46">
        <v>0</v>
      </c>
      <c r="P111" s="86">
        <v>5.8599999999999999E-2</v>
      </c>
      <c r="Q111" s="1277">
        <f>IF(AND($Q$100&gt;$M111,$Q$100&lt;=$N111),O111+$P111*($Q$100-M111),0)</f>
        <v>0</v>
      </c>
      <c r="R111" s="1681" t="str">
        <f>IF(AND($R$100&gt;$M111,$R$100&lt;=$N111),$P111*($R$100-M111),"--")</f>
        <v>--</v>
      </c>
      <c r="S111" s="93" t="s">
        <v>444</v>
      </c>
      <c r="T111" s="701">
        <f>IF(AND($T$100&gt;$M111,$T$100&lt;=$N111),O111+$P111*($T$100-M111),0)</f>
        <v>0</v>
      </c>
      <c r="U111" s="701" t="str">
        <f>IF(AND($U$100&gt;$M111,$U$100&lt;=$N111),$P111*($U$100-M111),"--")</f>
        <v>--</v>
      </c>
      <c r="V111" s="1475"/>
      <c r="W111" s="1475"/>
      <c r="AR111" s="1441"/>
    </row>
    <row r="112" spans="1:44" ht="15" thickBot="1" x14ac:dyDescent="0.35">
      <c r="E112" s="1935" t="s">
        <v>277</v>
      </c>
      <c r="F112" s="1936"/>
      <c r="G112" s="1937"/>
      <c r="M112" s="1686">
        <f>N111</f>
        <v>29752</v>
      </c>
      <c r="N112" s="41">
        <v>0</v>
      </c>
      <c r="O112" s="41">
        <v>1452</v>
      </c>
      <c r="P112" s="88"/>
      <c r="Q112" s="1278" t="str">
        <f>IF($Q$100&gt;$M112,$O112,"--")</f>
        <v>--</v>
      </c>
      <c r="R112" s="1682">
        <f>IF($R$100&gt;$M112,$O112,0)</f>
        <v>0</v>
      </c>
      <c r="S112" s="94" t="s">
        <v>445</v>
      </c>
      <c r="T112" s="1680" t="str">
        <f>IF($T$100&gt;$M112,$O112,"--")</f>
        <v>--</v>
      </c>
      <c r="U112" s="1680">
        <f>IF($U$100&gt;$M112,$O112,0)</f>
        <v>0</v>
      </c>
      <c r="V112" s="1475"/>
      <c r="W112" s="1475"/>
      <c r="AR112" s="1441"/>
    </row>
    <row r="113" spans="1:44" ht="16.2" thickBot="1" x14ac:dyDescent="0.35">
      <c r="B113" s="1844" t="str">
        <f>CONCATENATE("Eigen woningbezit ",$C$4," (indien van toepassing)")</f>
        <v>Eigen woningbezit AP (indien van toepassing)</v>
      </c>
      <c r="E113" s="2023" t="str">
        <f>$C$4</f>
        <v>AP</v>
      </c>
      <c r="F113" s="1941" t="str">
        <f>CONCATENATE("Nieuwe partner ",$C$4," met eigen inkomen?")</f>
        <v>Nieuwe partner AP met eigen inkomen?</v>
      </c>
      <c r="G113" s="1988" t="str">
        <f>$D$4</f>
        <v>AG</v>
      </c>
      <c r="M113" s="1923" t="s">
        <v>199</v>
      </c>
      <c r="N113" s="2094"/>
      <c r="O113" s="2094"/>
      <c r="P113" s="2097"/>
      <c r="Q113" s="90" t="str">
        <f>IF($Q$96="Ja",IF($C$10="Nee","zie WERK-tabel",SUM(Q110:Q112)),"n.v.t")</f>
        <v>n.v.t</v>
      </c>
      <c r="R113" s="90" t="str">
        <f>IF($R$96="Ja",IF($D$10="Nee","zie WERK-tabel",SUM(R110:R112)),"n.v.t")</f>
        <v>n.v.t</v>
      </c>
      <c r="S113" s="265"/>
      <c r="T113" s="95" t="str">
        <f>IF($Q$96="Ja",IF($C$10="Nee","zie WERK-tabel",SUM(T110:T112)),"n.v.t")</f>
        <v>n.v.t</v>
      </c>
      <c r="U113" s="134" t="str">
        <f>IF($R$96="Ja",IF($D$10="Nee","zie WERK-tabel",SUM(U110:U112)),"n.v.t")</f>
        <v>n.v.t</v>
      </c>
      <c r="V113" s="1475"/>
      <c r="W113" s="1475"/>
      <c r="AR113" s="1441"/>
    </row>
    <row r="114" spans="1:44" ht="15" thickBot="1" x14ac:dyDescent="0.35">
      <c r="B114" s="240"/>
      <c r="E114" s="2021"/>
      <c r="F114" s="1942"/>
      <c r="G114" s="1939"/>
      <c r="L114" s="1475"/>
      <c r="S114" s="1475"/>
      <c r="T114" s="1475"/>
      <c r="U114" s="1475"/>
      <c r="V114" s="1475"/>
      <c r="W114" s="1475"/>
      <c r="AR114" s="1441"/>
    </row>
    <row r="115" spans="1:44" ht="15" thickBot="1" x14ac:dyDescent="0.35">
      <c r="A115" s="30" t="s">
        <v>415</v>
      </c>
      <c r="B115" s="385" t="s">
        <v>160</v>
      </c>
      <c r="C115" s="30" t="s">
        <v>154</v>
      </c>
      <c r="D115" s="208" t="s">
        <v>157</v>
      </c>
      <c r="E115" s="2009"/>
      <c r="F115" s="1943"/>
      <c r="G115" s="1940"/>
      <c r="L115" s="2">
        <v>115</v>
      </c>
      <c r="M115" s="43" t="s">
        <v>702</v>
      </c>
      <c r="N115" s="42"/>
      <c r="O115" s="76" t="s">
        <v>196</v>
      </c>
      <c r="S115" s="265"/>
      <c r="T115" s="1963" t="s">
        <v>818</v>
      </c>
      <c r="U115" s="1964"/>
      <c r="V115" s="61" t="s">
        <v>784</v>
      </c>
      <c r="W115" s="2038" t="s">
        <v>446</v>
      </c>
      <c r="X115" s="2038" t="s">
        <v>446</v>
      </c>
      <c r="AA115" s="2"/>
      <c r="AR115" s="1441"/>
    </row>
    <row r="116" spans="1:44" ht="15" thickBot="1" x14ac:dyDescent="0.35">
      <c r="A116" s="155">
        <v>82</v>
      </c>
      <c r="B116" s="245" t="s">
        <v>161</v>
      </c>
      <c r="C116" s="81">
        <v>0</v>
      </c>
      <c r="D116" s="1801">
        <f>IF($C$116&gt;M179,P179+(O179*$C$116),IF(AND($C$116&gt;M178,$C$116&lt;=N178),O178*$C$116,IF(AND($C$116&gt;M177,$C$116&lt;=N177),O177*$C$116,IF(AND($C$116&gt;M176,$C$116&lt;=N176),O176*$C$116,IF(AND($C$116&gt;M175,$C$116&lt;=N175),O175*$C$116,IF(AND($C$116&gt;M174,$C$116&lt;=N174),O174*$C$116,0))))))</f>
        <v>0</v>
      </c>
      <c r="E116" s="1802">
        <f>IF(C116=0,0,IF(F$116="Nee",D116-G116,((D116-G116)/2)))</f>
        <v>0</v>
      </c>
      <c r="F116" s="174" t="s">
        <v>165</v>
      </c>
      <c r="G116" s="175">
        <v>0</v>
      </c>
      <c r="O116" s="2176" t="s">
        <v>315</v>
      </c>
      <c r="P116" s="2177"/>
      <c r="Q116" s="1161">
        <f>'Alimentatie 2019-2 (Juli)'!$E$104</f>
        <v>0</v>
      </c>
      <c r="R116" s="1484">
        <f>ROUND('Alimentatie 2019-2 (Juli)'!$G$104,0)</f>
        <v>0</v>
      </c>
      <c r="S116" s="139" t="s">
        <v>316</v>
      </c>
      <c r="T116" s="1467">
        <f>Q116-Jusvergelijking!$H$12-(12*'Alimentatie 2019-2 (Juli)'!E$234)</f>
        <v>0</v>
      </c>
      <c r="U116" s="1466">
        <f>R116+Jusvergelijking!$H$12-(12*'Alimentatie 2019-2 (Juli)'!G$234)</f>
        <v>0</v>
      </c>
      <c r="V116" s="1354">
        <f>Behoefteberekening!F13+Behoefteberekening!F26</f>
        <v>-0.12</v>
      </c>
      <c r="W116" s="2022"/>
      <c r="X116" s="2022"/>
      <c r="AA116" s="2"/>
      <c r="AR116" s="1441"/>
    </row>
    <row r="117" spans="1:44" ht="15" thickBot="1" x14ac:dyDescent="0.35">
      <c r="A117" s="154"/>
      <c r="B117" s="346" t="s">
        <v>398</v>
      </c>
      <c r="C117" s="82">
        <v>0</v>
      </c>
      <c r="D117" s="61" t="s">
        <v>236</v>
      </c>
      <c r="E117" s="1800">
        <f>IF(F$116="Nee",C117-G117,((C117-G117)/2))</f>
        <v>0</v>
      </c>
      <c r="F117" s="1958" t="str">
        <f>CONCATENATE("Nieuwe partner met inkomen? Dan de posten 50%-50% verdelen")</f>
        <v>Nieuwe partner met inkomen? Dan de posten 50%-50% verdelen</v>
      </c>
      <c r="G117" s="176">
        <v>0</v>
      </c>
      <c r="M117" s="44" t="s">
        <v>197</v>
      </c>
      <c r="N117" s="45" t="s">
        <v>106</v>
      </c>
      <c r="O117" s="83" t="s">
        <v>198</v>
      </c>
      <c r="P117" s="84" t="s">
        <v>120</v>
      </c>
      <c r="Q117" s="61" t="str">
        <f>$C$4</f>
        <v>AP</v>
      </c>
      <c r="R117" s="271" t="str">
        <f>$D$4</f>
        <v>AG</v>
      </c>
      <c r="S117" s="136" t="s">
        <v>362</v>
      </c>
      <c r="T117" s="61" t="str">
        <f>$C$4</f>
        <v>AP</v>
      </c>
      <c r="U117" s="271" t="str">
        <f>$D$4</f>
        <v>AG</v>
      </c>
      <c r="V117" s="61" t="str">
        <f>$D$4</f>
        <v>AG</v>
      </c>
      <c r="W117" s="61" t="str">
        <f>$C$4</f>
        <v>AP</v>
      </c>
      <c r="X117" s="156" t="str">
        <f>$D$4</f>
        <v>AG</v>
      </c>
      <c r="AA117" s="2"/>
      <c r="AR117" s="1441"/>
    </row>
    <row r="118" spans="1:44" ht="15" thickBot="1" x14ac:dyDescent="0.35">
      <c r="A118" s="154">
        <v>83</v>
      </c>
      <c r="B118" s="346" t="s">
        <v>396</v>
      </c>
      <c r="C118" s="82">
        <v>0</v>
      </c>
      <c r="D118" s="1803">
        <f>C117+C118</f>
        <v>0</v>
      </c>
      <c r="E118" s="1804">
        <f>IF(F$116="Nee",C118-G118,((C118-G118)/2))</f>
        <v>0</v>
      </c>
      <c r="F118" s="1959"/>
      <c r="G118" s="177">
        <v>0</v>
      </c>
      <c r="M118" s="1162">
        <v>0</v>
      </c>
      <c r="N118" s="1163">
        <v>20384</v>
      </c>
      <c r="O118" s="1164">
        <v>2477</v>
      </c>
      <c r="P118" s="1689"/>
      <c r="Q118" s="1690" t="str">
        <f>IF(AND($Q$116&gt;$M118,$Q$116&lt;=$N118),$O118,"--")</f>
        <v>--</v>
      </c>
      <c r="R118" s="1691" t="str">
        <f>IF(AND($R$116&gt;$M118,$R$116&lt;=$N118),$O118,"--")</f>
        <v>--</v>
      </c>
      <c r="S118" s="275"/>
      <c r="T118" s="1690" t="str">
        <f>IF(AND($T$116&gt;$M118,$T$116&lt;=$N118),$O118,"--")</f>
        <v>--</v>
      </c>
      <c r="U118" s="1690" t="str">
        <f>IF(AND($U$116&gt;$M118,$U$116&lt;=$N118),$O118,"--")</f>
        <v>--</v>
      </c>
      <c r="V118" s="1697" t="str">
        <f>IF(AND($V$116&gt;$M118,$V$116&lt;=$N118),$O118,"--")</f>
        <v>--</v>
      </c>
      <c r="W118" s="1697" t="str">
        <f>IF(AND(($Q$116-'Alimentatie 2019-2 (Juli)'!E$80)&gt;$M118,($Q$116-'Alimentatie 2019-2 (Juli)'!E$80)&lt;=$N118),$O118,"--")</f>
        <v>--</v>
      </c>
      <c r="X118" s="1697" t="str">
        <f>IF(AND(($R$116-'Alimentatie 2019-2 (Juli)'!G80)&gt;$M118,($R$116-'Alimentatie 2019-2 (Juli)'!G80)&lt;=$N118),$O118,"--")</f>
        <v>--</v>
      </c>
      <c r="AA118" s="2"/>
      <c r="AR118" s="1441"/>
    </row>
    <row r="119" spans="1:44" ht="15" thickBot="1" x14ac:dyDescent="0.35">
      <c r="A119" s="390">
        <v>83</v>
      </c>
      <c r="B119" s="246" t="s">
        <v>276</v>
      </c>
      <c r="C119" s="87">
        <v>0</v>
      </c>
      <c r="D119" s="794"/>
      <c r="E119" s="540">
        <f>IF(F$116="Nee",C119-G119,((C119-G119)/2))</f>
        <v>0</v>
      </c>
      <c r="F119" s="1959"/>
      <c r="G119" s="177">
        <v>0</v>
      </c>
      <c r="M119" s="1687">
        <f>N118</f>
        <v>20384</v>
      </c>
      <c r="N119" s="1165">
        <v>68507</v>
      </c>
      <c r="O119" s="1166">
        <v>0</v>
      </c>
      <c r="P119" s="1692">
        <v>5.1470000000000002E-2</v>
      </c>
      <c r="Q119" s="1693" t="str">
        <f>IF(AND($Q$116&gt;$M119,$Q$116&lt;=$N119),($O118-($P119*($Q$116-$M119))),"--")</f>
        <v>--</v>
      </c>
      <c r="R119" s="1694" t="str">
        <f>IF(AND($R$116&gt;$M119,$R$116&lt;=$N119),($O118-($P119*($R$116-$M119))),"--")</f>
        <v>--</v>
      </c>
      <c r="S119" s="276"/>
      <c r="T119" s="1693" t="str">
        <f>IF(AND($T$116&gt;$M119,$T$116&lt;=$N119),($O118-($P119*($T$116-$M119))),"--")</f>
        <v>--</v>
      </c>
      <c r="U119" s="1693" t="str">
        <f>IF(AND($U$116&gt;$M119,$U$116&lt;=$N119),($O118-($P119*($U$116-$M119))),"--")</f>
        <v>--</v>
      </c>
      <c r="V119" s="1698" t="str">
        <f>IF(AND($V$116&gt;$M119,$V$116&lt;=$N119),($O118-($P119*($V$116-$M119))),"--")</f>
        <v>--</v>
      </c>
      <c r="W119" s="1698" t="str">
        <f>IF(AND(($Q$116-'Alimentatie 2019-2 (Juli)'!E$80)&gt;$M119,($Q$116-'Alimentatie 2019-2 (Juli)'!E$80)&lt;=$N119),($O118-($P119*(($Q$116-'Alimentatie 2019-2 (Juli)'!E$80)-$M119))),"--")</f>
        <v>--</v>
      </c>
      <c r="X119" s="1698" t="str">
        <f>IF(AND(($R$116-'Alimentatie 2019-2 (Juli)'!G$80)&gt;$M119,($R$116-'Alimentatie 2019-2 (Juli)'!G$80)&lt;=$N119),($O118-($P119*(($R$116-'Alimentatie 2019-2 (Juli)'!G$80)-$M119))),"--")</f>
        <v>--</v>
      </c>
      <c r="AA119" s="2"/>
      <c r="AR119" s="1441"/>
    </row>
    <row r="120" spans="1:44" ht="15" customHeight="1" thickBot="1" x14ac:dyDescent="0.35">
      <c r="A120" s="384">
        <v>83</v>
      </c>
      <c r="B120" s="2000" t="s">
        <v>394</v>
      </c>
      <c r="C120" s="2001"/>
      <c r="D120" s="1805">
        <f>(C118*12)+C119</f>
        <v>0</v>
      </c>
      <c r="E120" s="1802">
        <f>IF(F$116="Nee",D120-G120,((D120-G120)/2))</f>
        <v>0</v>
      </c>
      <c r="F120" s="1959"/>
      <c r="G120" s="175">
        <v>0</v>
      </c>
      <c r="L120" s="60"/>
      <c r="M120" s="1688">
        <f>N119</f>
        <v>68507</v>
      </c>
      <c r="N120" s="1167">
        <v>0</v>
      </c>
      <c r="O120" s="1167">
        <v>0</v>
      </c>
      <c r="P120" s="1695"/>
      <c r="Q120" s="1696">
        <v>0</v>
      </c>
      <c r="R120" s="1511">
        <v>0</v>
      </c>
      <c r="S120" s="277"/>
      <c r="T120" s="1699">
        <v>0</v>
      </c>
      <c r="U120" s="1699">
        <v>0</v>
      </c>
      <c r="V120" s="1699">
        <v>0</v>
      </c>
      <c r="W120" s="1699">
        <f>Q120</f>
        <v>0</v>
      </c>
      <c r="X120" s="1699">
        <f>R120</f>
        <v>0</v>
      </c>
      <c r="AA120" s="2"/>
      <c r="AR120" s="1441"/>
    </row>
    <row r="121" spans="1:44" ht="15" thickBot="1" x14ac:dyDescent="0.35">
      <c r="A121" s="384">
        <v>84</v>
      </c>
      <c r="B121" s="386" t="s">
        <v>440</v>
      </c>
      <c r="C121" s="117">
        <v>0</v>
      </c>
      <c r="D121" s="1806">
        <f>E121*12</f>
        <v>0</v>
      </c>
      <c r="E121" s="1804">
        <f>IF(F$116="Nee",C121-G121,((C121-G121)/2))</f>
        <v>0</v>
      </c>
      <c r="F121" s="1960"/>
      <c r="G121" s="177">
        <v>0</v>
      </c>
      <c r="M121" s="1944" t="s">
        <v>199</v>
      </c>
      <c r="N121" s="1945"/>
      <c r="O121" s="1945"/>
      <c r="P121" s="1945"/>
      <c r="Q121" s="816" t="str">
        <f>IF(C$10="Ja","Zie AOW-tabel",SUM(Q118:Q120))</f>
        <v>Zie AOW-tabel</v>
      </c>
      <c r="R121" s="1485" t="str">
        <f>IF(D$10="Ja","Zie AOW-tabel",SUM(R118:R120))</f>
        <v>Zie AOW-tabel</v>
      </c>
      <c r="S121" s="278"/>
      <c r="T121" s="1161">
        <f>IF(F$10="Ja","Zie AOW-tabel",SUM(T118:T120))</f>
        <v>0</v>
      </c>
      <c r="U121" s="1161">
        <f>IF(G$10="Ja","Zie AOW-tabel",SUM(U118:U120))</f>
        <v>0</v>
      </c>
      <c r="V121" s="1161" t="str">
        <f>IF(D$10="Ja","Zie AOW-tabel",SUM(V118:V120))</f>
        <v>Zie AOW-tabel</v>
      </c>
      <c r="W121" s="1161" t="str">
        <f>IF(C$10="Ja","Zie AOW-tabel",SUM(W118:W120))</f>
        <v>Zie AOW-tabel</v>
      </c>
      <c r="X121" s="1161" t="str">
        <f>IF(D$10="Ja","Zie AOW-tabel",SUM(X118:X120))</f>
        <v>Zie AOW-tabel</v>
      </c>
      <c r="AA121" s="2"/>
      <c r="AR121" s="1441"/>
    </row>
    <row r="122" spans="1:44" ht="15" thickBot="1" x14ac:dyDescent="0.35">
      <c r="E122" s="793" t="str">
        <f>CONCATENATE("Heeft ",C4," een nieuwe partner met eigen inkomen? Dan zijn/haar posten 50-50 verdelen")</f>
        <v>Heeft AP een nieuwe partner met eigen inkomen? Dan zijn/haar posten 50-50 verdelen</v>
      </c>
      <c r="M122" s="1995" t="s">
        <v>312</v>
      </c>
      <c r="N122" s="1996"/>
      <c r="O122" s="1996"/>
      <c r="P122" s="1996"/>
      <c r="Q122" s="1996"/>
      <c r="R122" s="1997"/>
      <c r="T122" s="1357"/>
      <c r="U122" s="1441"/>
      <c r="X122" s="2"/>
      <c r="Z122" s="1357"/>
      <c r="AA122" s="2"/>
      <c r="AR122" s="1441"/>
    </row>
    <row r="123" spans="1:44" ht="15" thickBot="1" x14ac:dyDescent="0.35">
      <c r="N123" s="219"/>
      <c r="Q123" s="219"/>
      <c r="R123" s="269"/>
      <c r="T123" s="1357"/>
      <c r="X123" s="2"/>
      <c r="Z123" s="1357"/>
      <c r="AA123" s="2"/>
      <c r="AR123" s="1441"/>
    </row>
    <row r="124" spans="1:44" ht="15" customHeight="1" thickBot="1" x14ac:dyDescent="0.35">
      <c r="E124" s="1935" t="s">
        <v>277</v>
      </c>
      <c r="F124" s="1936"/>
      <c r="G124" s="1937"/>
      <c r="H124" s="1827"/>
      <c r="I124" s="1827"/>
      <c r="J124" s="1827"/>
      <c r="L124" s="742">
        <v>115</v>
      </c>
      <c r="M124" s="43" t="s">
        <v>701</v>
      </c>
      <c r="N124" s="42"/>
      <c r="O124" s="76" t="s">
        <v>196</v>
      </c>
      <c r="S124" s="742"/>
      <c r="T124" s="1963" t="s">
        <v>818</v>
      </c>
      <c r="U124" s="1964"/>
      <c r="V124" s="1471" t="s">
        <v>820</v>
      </c>
      <c r="W124" s="2038" t="s">
        <v>446</v>
      </c>
      <c r="X124" s="2038" t="s">
        <v>446</v>
      </c>
      <c r="Z124" s="1357"/>
      <c r="AA124" s="2"/>
      <c r="AR124" s="1441"/>
    </row>
    <row r="125" spans="1:44" ht="16.2" thickBot="1" x14ac:dyDescent="0.35">
      <c r="B125" s="1844" t="str">
        <f>CONCATENATE("Eigen woningbezit ",D4," (indien van toepassing)")</f>
        <v>Eigen woningbezit AG (indien van toepassing)</v>
      </c>
      <c r="E125" s="1938" t="str">
        <f>$D$4</f>
        <v>AG</v>
      </c>
      <c r="F125" s="1941" t="str">
        <f>CONCATENATE("Nieuwe partner ",$D$4," met eigen inkomen?")</f>
        <v>Nieuwe partner AG met eigen inkomen?</v>
      </c>
      <c r="G125" s="2020" t="str">
        <f>$C$4</f>
        <v>AP</v>
      </c>
      <c r="H125" s="1827"/>
      <c r="I125" s="1827"/>
      <c r="J125" s="1827"/>
      <c r="L125" s="742"/>
      <c r="N125" s="761"/>
      <c r="O125" s="765"/>
      <c r="P125" s="765"/>
      <c r="Q125" s="1169"/>
      <c r="R125" s="1169"/>
      <c r="S125" s="141"/>
      <c r="T125" s="1935" t="s">
        <v>819</v>
      </c>
      <c r="U125" s="1949"/>
      <c r="V125" s="61" t="s">
        <v>784</v>
      </c>
      <c r="W125" s="2039"/>
      <c r="X125" s="2022"/>
      <c r="Z125" s="1357"/>
      <c r="AA125" s="2"/>
      <c r="AR125" s="1441"/>
    </row>
    <row r="126" spans="1:44" ht="15" thickBot="1" x14ac:dyDescent="0.35">
      <c r="B126" s="240"/>
      <c r="E126" s="1939"/>
      <c r="F126" s="1942"/>
      <c r="G126" s="2021"/>
      <c r="H126" s="1827"/>
      <c r="I126" s="1827"/>
      <c r="J126" s="1827"/>
      <c r="L126" s="742"/>
      <c r="M126" s="739" t="s">
        <v>197</v>
      </c>
      <c r="N126" s="128" t="s">
        <v>106</v>
      </c>
      <c r="O126" s="6" t="s">
        <v>198</v>
      </c>
      <c r="P126" s="738" t="s">
        <v>120</v>
      </c>
      <c r="Q126" s="66" t="str">
        <f>$C$4</f>
        <v>AP</v>
      </c>
      <c r="R126" s="61" t="str">
        <f>$D$4</f>
        <v>AG</v>
      </c>
      <c r="S126" s="815" t="s">
        <v>362</v>
      </c>
      <c r="T126" s="138" t="str">
        <f>$C$4</f>
        <v>AP</v>
      </c>
      <c r="U126" s="138" t="str">
        <f>$D$4</f>
        <v>AG</v>
      </c>
      <c r="V126" s="61" t="str">
        <f>$D$4</f>
        <v>AG</v>
      </c>
      <c r="W126" s="61" t="str">
        <f>$C$4</f>
        <v>AP</v>
      </c>
      <c r="X126" s="156" t="str">
        <f>$D$4</f>
        <v>AG</v>
      </c>
      <c r="Z126" s="1357"/>
      <c r="AA126" s="2"/>
      <c r="AR126" s="1441"/>
    </row>
    <row r="127" spans="1:44" ht="15" thickBot="1" x14ac:dyDescent="0.35">
      <c r="A127" s="30" t="s">
        <v>415</v>
      </c>
      <c r="B127" s="385" t="s">
        <v>160</v>
      </c>
      <c r="C127" s="30" t="s">
        <v>154</v>
      </c>
      <c r="D127" s="1826" t="s">
        <v>157</v>
      </c>
      <c r="E127" s="1940"/>
      <c r="F127" s="1943"/>
      <c r="G127" s="2009"/>
      <c r="H127" s="1827"/>
      <c r="I127" s="1827"/>
      <c r="J127" s="1827"/>
      <c r="L127" s="742"/>
      <c r="M127" s="1162">
        <v>0</v>
      </c>
      <c r="N127" s="1163">
        <v>20384</v>
      </c>
      <c r="O127" s="1164">
        <v>1268</v>
      </c>
      <c r="P127" s="1689"/>
      <c r="Q127" s="1700" t="str">
        <f>IF(AND($Q$116&gt;$M127,$Q$116&lt;=$N127),$O127,"--")</f>
        <v>--</v>
      </c>
      <c r="R127" s="1690" t="str">
        <f>IF(AND($R$116&gt;$M127,$R$116&lt;=$N127),$O127,"--")</f>
        <v>--</v>
      </c>
      <c r="S127" s="1701"/>
      <c r="T127" s="1690" t="str">
        <f>IF(AND($T$116&gt;$M127,$T$116&lt;=$N127),$O127,"--")</f>
        <v>--</v>
      </c>
      <c r="U127" s="1690" t="str">
        <f>IF(AND($U$116&gt;$M127,$U$116&lt;=$N127),$O127,"--")</f>
        <v>--</v>
      </c>
      <c r="V127" s="1697" t="str">
        <f>IF(AND($V$116&gt;$M127,$V$116&lt;=$N127),$O127,"--")</f>
        <v>--</v>
      </c>
      <c r="W127" s="1697" t="str">
        <f>IF(AND(($Q$116-'Alimentatie 2019-2 (Juli)'!E$80)&gt;$M127,($Q$116-'Alimentatie 2019-2 (Juli)'!E$80)&lt;=$N127),$O127,"--")</f>
        <v>--</v>
      </c>
      <c r="X127" s="1697" t="str">
        <f>IF(AND(($R$116-'Alimentatie 2019-2 (Juli)'!G89)&gt;$M127,($R$116-'Alimentatie 2019-2 (Juli)'!G89)&lt;=$N127),$O127,"--")</f>
        <v>--</v>
      </c>
      <c r="Z127" s="1357"/>
      <c r="AA127" s="2"/>
      <c r="AB127" s="54"/>
      <c r="AC127" s="54"/>
      <c r="AD127" s="54"/>
      <c r="AE127" s="54"/>
      <c r="AF127" s="54"/>
      <c r="AG127" s="54"/>
      <c r="AK127" s="1357"/>
      <c r="AM127" s="1357"/>
      <c r="AO127" s="1357"/>
      <c r="AR127" s="1441"/>
    </row>
    <row r="128" spans="1:44" ht="15" thickBot="1" x14ac:dyDescent="0.35">
      <c r="A128" s="155">
        <v>82</v>
      </c>
      <c r="B128" s="245" t="s">
        <v>161</v>
      </c>
      <c r="C128" s="81">
        <v>0</v>
      </c>
      <c r="D128" s="1801">
        <f>IF($C$128&gt;M179,P179+(O179*$C$128),IF(AND($C$128&gt;M178,$C$128&lt;=N178),O178*$C$128,IF(AND($C$128&gt;M177,$C$128&lt;=N177),O177*$C$128,IF(AND($C$128&gt;M176,$C$128&lt;=N176),O176*$C$128,IF(AND($C$128&gt;M175,$C$128&lt;=N175),O175*$C$128,IF(AND($C$128&gt;M174,$C$128&lt;=N174),O174*$C$128,0))))))</f>
        <v>0</v>
      </c>
      <c r="E128" s="1802">
        <f>IF(C128=0,0,IF(F$128="Nee",D128-G128,((D128-G128)/2)))</f>
        <v>0</v>
      </c>
      <c r="F128" s="174" t="s">
        <v>165</v>
      </c>
      <c r="G128" s="175">
        <v>0</v>
      </c>
      <c r="H128" s="1827"/>
      <c r="I128" s="1827"/>
      <c r="J128" s="1827"/>
      <c r="L128" s="742"/>
      <c r="M128" s="1687">
        <f>N127</f>
        <v>20384</v>
      </c>
      <c r="N128" s="1165">
        <v>68507</v>
      </c>
      <c r="O128" s="1166">
        <v>0</v>
      </c>
      <c r="P128" s="1692">
        <v>2.6329999999999999E-2</v>
      </c>
      <c r="Q128" s="1702" t="str">
        <f>IF(AND($Q$116&gt;$M128,$Q$116&lt;=$N128),($O127-($P128*($Q$116-$M128))),"--")</f>
        <v>--</v>
      </c>
      <c r="R128" s="1693" t="str">
        <f>IF(AND($R$116&gt;$M128,$R$116&lt;=$N128),($O127-($P128*($R$116-$M128))),"--")</f>
        <v>--</v>
      </c>
      <c r="S128" s="1703"/>
      <c r="T128" s="1693" t="str">
        <f>IF(AND($T$116&gt;$M128,$T$116&lt;=$N128),($O127-($P128*($T$116-$M128))),"--")</f>
        <v>--</v>
      </c>
      <c r="U128" s="1693" t="str">
        <f>IF(AND($U$116&gt;$M128,$U$116&lt;=$N128),($O127-($P128*($U$116-$M128))),"--")</f>
        <v>--</v>
      </c>
      <c r="V128" s="1698" t="str">
        <f>IF(AND($V$116&gt;$M128,$V$116&lt;=$N128),($O127-($P128*($V$116-$M128))),"--")</f>
        <v>--</v>
      </c>
      <c r="W128" s="1698" t="str">
        <f>IF(AND(($Q$116-'Alimentatie 2019-2 (Juli)'!E$80)&gt;$M128,($Q$116-'Alimentatie 2019-2 (Juli)'!E$80)&lt;=$N128),($O127-($P128*(($Q$116-'Alimentatie 2019-2 (Juli)'!E$80)-$M128))),"--")</f>
        <v>--</v>
      </c>
      <c r="X128" s="1698" t="str">
        <f>IF(AND(($R$116-'Alimentatie 2019-2 (Juli)'!G$80)&gt;$M128,($R$116-'Alimentatie 2019-2 (Juli)'!G$80)&lt;=$N128),($O127-($P128*(($R$116-'Alimentatie 2019-2 (Juli)'!G$80)-$M128))),"--")</f>
        <v>--</v>
      </c>
      <c r="Z128" s="1357"/>
      <c r="AA128" s="2"/>
      <c r="AM128" s="1357"/>
      <c r="AO128" s="1357"/>
      <c r="AR128" s="1441"/>
    </row>
    <row r="129" spans="1:44" ht="15" thickBot="1" x14ac:dyDescent="0.35">
      <c r="A129" s="154"/>
      <c r="B129" s="346" t="s">
        <v>398</v>
      </c>
      <c r="C129" s="82">
        <v>0</v>
      </c>
      <c r="D129" s="61" t="s">
        <v>236</v>
      </c>
      <c r="E129" s="1800">
        <f>IF(F$128="Nee",C129-G129,((C129-G129)/2))</f>
        <v>0</v>
      </c>
      <c r="F129" s="1958" t="str">
        <f>CONCATENATE("Nieuwe partner met inkomen? Dan de posten 50%-50% verdelen")</f>
        <v>Nieuwe partner met inkomen? Dan de posten 50%-50% verdelen</v>
      </c>
      <c r="G129" s="176">
        <v>0</v>
      </c>
      <c r="H129" s="1827"/>
      <c r="I129" s="1827"/>
      <c r="J129" s="1827"/>
      <c r="L129" s="60"/>
      <c r="M129" s="1688">
        <f>N128</f>
        <v>68507</v>
      </c>
      <c r="N129" s="1167">
        <v>0</v>
      </c>
      <c r="O129" s="1167">
        <v>0</v>
      </c>
      <c r="P129" s="1695"/>
      <c r="Q129" s="1704">
        <v>0</v>
      </c>
      <c r="R129" s="1696">
        <v>0</v>
      </c>
      <c r="S129" s="1705"/>
      <c r="T129" s="1699">
        <v>0</v>
      </c>
      <c r="U129" s="1699">
        <v>0</v>
      </c>
      <c r="V129" s="1699">
        <v>0</v>
      </c>
      <c r="W129" s="1699">
        <f>Q129</f>
        <v>0</v>
      </c>
      <c r="X129" s="1699">
        <f>R129</f>
        <v>0</v>
      </c>
      <c r="Z129" s="1357"/>
      <c r="AA129" s="2"/>
      <c r="AL129" s="742"/>
      <c r="AM129" s="1357"/>
      <c r="AN129" s="742"/>
      <c r="AO129" s="1357"/>
      <c r="AP129" s="742"/>
      <c r="AQ129" s="742"/>
      <c r="AR129" s="1441"/>
    </row>
    <row r="130" spans="1:44" ht="15" thickBot="1" x14ac:dyDescent="0.35">
      <c r="A130" s="154">
        <v>83</v>
      </c>
      <c r="B130" s="346" t="s">
        <v>396</v>
      </c>
      <c r="C130" s="82">
        <v>0</v>
      </c>
      <c r="D130" s="1803">
        <f>C129+C130</f>
        <v>0</v>
      </c>
      <c r="E130" s="1804">
        <f>IF(F$128="Nee",C130-G130,((C130-G130)/2))</f>
        <v>0</v>
      </c>
      <c r="F130" s="1959"/>
      <c r="G130" s="177">
        <v>0</v>
      </c>
      <c r="H130" s="1827"/>
      <c r="I130" s="1827"/>
      <c r="J130" s="1827"/>
      <c r="L130" s="742"/>
      <c r="M130" s="1944" t="s">
        <v>199</v>
      </c>
      <c r="N130" s="1945"/>
      <c r="O130" s="1945"/>
      <c r="P130" s="1945"/>
      <c r="Q130" s="1483">
        <f>IF(C$10="Nee","Zie WERK-tabel",SUM(Q127:Q129))</f>
        <v>0</v>
      </c>
      <c r="R130" s="816">
        <f>IF(D$10="Nee","Zie WERK-tabel",SUM(R127:R129))</f>
        <v>0</v>
      </c>
      <c r="S130" s="278"/>
      <c r="T130" s="1161">
        <f>IF(C$10="Nee","Zie WERK-tabel",SUM(T127:T129))</f>
        <v>0</v>
      </c>
      <c r="U130" s="1161">
        <f>IF(D$10="Nee","Zie WERK-tabel",SUM(U127:U129))</f>
        <v>0</v>
      </c>
      <c r="V130" s="1161">
        <f>IF(D$10="Nee","Zie WERK-tabel",SUM(V127:V129))</f>
        <v>0</v>
      </c>
      <c r="W130" s="1161">
        <f>IF(C$10="Nee","Zie WERK-tabel",SUM(W127:W129))</f>
        <v>0</v>
      </c>
      <c r="X130" s="1161">
        <f>IF(D$10="Nee","Zie WERK-tabel",SUM(X127:X129))</f>
        <v>0</v>
      </c>
      <c r="Z130" s="1357"/>
      <c r="AA130" s="2"/>
      <c r="AL130" s="742"/>
      <c r="AM130" s="1357"/>
      <c r="AN130" s="742"/>
      <c r="AO130" s="1357"/>
      <c r="AP130" s="742"/>
      <c r="AQ130" s="742"/>
      <c r="AR130" s="1441"/>
    </row>
    <row r="131" spans="1:44" ht="15" thickBot="1" x14ac:dyDescent="0.35">
      <c r="A131" s="390">
        <v>83</v>
      </c>
      <c r="B131" s="246" t="s">
        <v>276</v>
      </c>
      <c r="C131" s="87">
        <v>0</v>
      </c>
      <c r="D131" s="794"/>
      <c r="E131" s="540">
        <f>IF(F$128="Nee",C131-G131,((C131-G131)/2))</f>
        <v>0</v>
      </c>
      <c r="F131" s="1959"/>
      <c r="G131" s="177">
        <v>0</v>
      </c>
      <c r="H131" s="1827"/>
      <c r="I131" s="1827"/>
      <c r="J131" s="1827"/>
      <c r="L131" s="742"/>
      <c r="M131" s="1995" t="s">
        <v>703</v>
      </c>
      <c r="N131" s="1996"/>
      <c r="O131" s="1996"/>
      <c r="P131" s="1996"/>
      <c r="Q131" s="1996"/>
      <c r="R131" s="1997"/>
      <c r="S131" s="742"/>
      <c r="T131" s="742"/>
      <c r="U131" s="742"/>
      <c r="Z131" s="1357"/>
      <c r="AA131" s="2"/>
      <c r="AM131" s="1357"/>
      <c r="AO131" s="1357"/>
      <c r="AR131" s="1441"/>
    </row>
    <row r="132" spans="1:44" s="1504" customFormat="1" ht="15" thickBot="1" x14ac:dyDescent="0.35">
      <c r="A132" s="384">
        <v>83</v>
      </c>
      <c r="B132" s="2000" t="s">
        <v>394</v>
      </c>
      <c r="C132" s="2001"/>
      <c r="D132" s="1805">
        <f>(C130*12)+C131</f>
        <v>0</v>
      </c>
      <c r="E132" s="1802">
        <f>IF(F$128="Nee",D132-G132,((D132-G132)/2))</f>
        <v>0</v>
      </c>
      <c r="F132" s="1959"/>
      <c r="G132" s="175">
        <v>0</v>
      </c>
      <c r="H132" s="1827"/>
      <c r="I132" s="1827"/>
      <c r="J132" s="1827"/>
      <c r="K132" s="373"/>
      <c r="M132" s="1667"/>
      <c r="N132" s="1667"/>
      <c r="O132" s="1667"/>
      <c r="P132" s="1667"/>
      <c r="Q132" s="1667"/>
      <c r="R132" s="367"/>
    </row>
    <row r="133" spans="1:44" ht="15" thickBot="1" x14ac:dyDescent="0.35">
      <c r="A133" s="384">
        <v>84</v>
      </c>
      <c r="B133" s="386" t="s">
        <v>440</v>
      </c>
      <c r="C133" s="117">
        <v>0</v>
      </c>
      <c r="D133" s="1806">
        <f>E133*12</f>
        <v>0</v>
      </c>
      <c r="E133" s="1804">
        <f>IF(F$128="Nee",C133-G133,((C133-G133)/2))</f>
        <v>0</v>
      </c>
      <c r="F133" s="1960"/>
      <c r="G133" s="177">
        <v>0</v>
      </c>
      <c r="H133" s="1827"/>
      <c r="I133" s="1827"/>
      <c r="J133" s="1827"/>
      <c r="L133" s="270"/>
      <c r="M133" s="270"/>
      <c r="N133" s="270"/>
      <c r="O133" s="270"/>
      <c r="P133" s="270"/>
      <c r="Q133" s="270"/>
      <c r="R133" s="270"/>
      <c r="S133" s="270"/>
      <c r="T133" s="1963" t="s">
        <v>818</v>
      </c>
      <c r="U133" s="1964"/>
      <c r="W133" s="270"/>
      <c r="Y133" s="270"/>
      <c r="Z133" s="1357"/>
      <c r="AA133" s="2"/>
      <c r="AM133" s="1357"/>
      <c r="AO133" s="1357"/>
      <c r="AR133" s="1441"/>
    </row>
    <row r="134" spans="1:44" ht="15" thickBot="1" x14ac:dyDescent="0.35">
      <c r="E134" s="793" t="str">
        <f>CONCATENATE("Heeft ",$D$4," een nieuwe partner met eigen inkomen? Dan zijn/haar posten 50-50 verdelen")</f>
        <v>Heeft AG een nieuwe partner met eigen inkomen? Dan zijn/haar posten 50-50 verdelen</v>
      </c>
      <c r="F134" s="1827"/>
      <c r="G134" s="1827"/>
      <c r="H134" s="1827"/>
      <c r="I134" s="1827"/>
      <c r="J134" s="1827"/>
      <c r="L134" s="2">
        <v>115</v>
      </c>
      <c r="M134" s="211" t="s">
        <v>705</v>
      </c>
      <c r="N134" s="212"/>
      <c r="O134" s="1956" t="s">
        <v>313</v>
      </c>
      <c r="P134" s="1957"/>
      <c r="Q134" s="1482">
        <f>('Alimentatie 2019-2 (Juli)'!E7+SUM('Alimentatie 2019-2 (Juli)'!E10:'Alimentatie 2019-2 (Juli)'!E15)-Basisgegevens!D58-SUM('Alimentatie 2019-2 (Juli)'!E26:'Alimentatie 2019-2 (Juli)'!E28)-'Alimentatie 2019-2 (Juli)'!E32+'Alimentatie 2019-2 (Juli)'!E37-'Alimentatie 2019-2 (Juli)'!E45+'Alimentatie 2019-2 (Juli)'!E57+'Alimentatie 2019-2 (Juli)'!E70)</f>
        <v>0</v>
      </c>
      <c r="R134" s="1480">
        <f>('Alimentatie 2019-2 (Juli)'!G7+SUM('Alimentatie 2019-2 (Juli)'!G10:'Alimentatie 2019-2 (Juli)'!G15)-Basisgegevens!F58-SUM('Alimentatie 2019-2 (Juli)'!G26:'Alimentatie 2019-2 (Juli)'!G28)-'Alimentatie 2019-2 (Juli)'!G32+'Alimentatie 2019-2 (Juli)'!G37-'Alimentatie 2019-2 (Juli)'!G45+'Alimentatie 2019-2 (Juli)'!G57+'Alimentatie 2019-2 (Juli)'!G70+F52)</f>
        <v>0</v>
      </c>
      <c r="S134" s="764" t="s">
        <v>607</v>
      </c>
      <c r="T134" s="1161">
        <f>Q134-Jusvergelijking!$H$12</f>
        <v>0</v>
      </c>
      <c r="U134" s="1479">
        <f>R134+Jusvergelijking!$H$12</f>
        <v>0</v>
      </c>
      <c r="V134" s="139" t="s">
        <v>909</v>
      </c>
      <c r="Y134" s="270"/>
      <c r="Z134" s="1357"/>
      <c r="AA134" s="2"/>
      <c r="AM134" s="1357"/>
      <c r="AO134" s="1357"/>
      <c r="AR134" s="1441"/>
    </row>
    <row r="135" spans="1:44" ht="15" thickBot="1" x14ac:dyDescent="0.35">
      <c r="M135" s="44" t="s">
        <v>197</v>
      </c>
      <c r="N135" s="45" t="s">
        <v>106</v>
      </c>
      <c r="O135" s="83" t="s">
        <v>198</v>
      </c>
      <c r="P135" s="178" t="s">
        <v>120</v>
      </c>
      <c r="Q135" s="61" t="str">
        <f>$C$4</f>
        <v>AP</v>
      </c>
      <c r="R135" s="156" t="str">
        <f>$D$4</f>
        <v>AG</v>
      </c>
      <c r="S135" s="115" t="s">
        <v>203</v>
      </c>
      <c r="T135" s="138" t="str">
        <f>$C$4</f>
        <v>AP</v>
      </c>
      <c r="U135" s="110" t="str">
        <f>$D$4</f>
        <v>AG</v>
      </c>
      <c r="Z135" s="1357"/>
      <c r="AA135" s="2"/>
      <c r="AM135" s="1357"/>
      <c r="AO135" s="1357"/>
      <c r="AR135" s="1441"/>
    </row>
    <row r="136" spans="1:44" ht="15" thickBot="1" x14ac:dyDescent="0.35">
      <c r="B136" s="240" t="s">
        <v>512</v>
      </c>
      <c r="C136" s="144" t="str">
        <f>$C$4</f>
        <v>AP</v>
      </c>
      <c r="D136" s="102"/>
      <c r="E136" s="61" t="str">
        <f>$D$4</f>
        <v>AG</v>
      </c>
      <c r="F136" s="292"/>
      <c r="M136" s="1162">
        <v>0</v>
      </c>
      <c r="N136" s="1170">
        <v>9694</v>
      </c>
      <c r="O136" s="635">
        <v>0</v>
      </c>
      <c r="P136" s="47">
        <v>1.754E-2</v>
      </c>
      <c r="Q136" s="1706">
        <f>IF(AND($Q$134&gt;$M136,$Q$134&lt;=$N136),P136*$Q$134,0)</f>
        <v>0</v>
      </c>
      <c r="R136" s="1707">
        <f>IF(AND($R$134&gt;$M136,$R$134&lt;=$N136),P136*$R$134,0)</f>
        <v>0</v>
      </c>
      <c r="S136" s="91" t="s">
        <v>906</v>
      </c>
      <c r="T136" s="1706">
        <f>IF(AND($T$134&gt;$M136,$T$134&lt;=$N136),P136*$T$134,0)</f>
        <v>0</v>
      </c>
      <c r="U136" s="1707">
        <f>IF(AND($U$134&gt;$M136,$U$134&lt;=$N136),P136*$U$134,0)</f>
        <v>0</v>
      </c>
      <c r="Z136" s="1357"/>
      <c r="AA136" s="2"/>
      <c r="AM136" s="1357"/>
      <c r="AO136" s="1357"/>
      <c r="AR136" s="1441"/>
    </row>
    <row r="137" spans="1:44" ht="15" thickBot="1" x14ac:dyDescent="0.35">
      <c r="B137" s="652" t="s">
        <v>243</v>
      </c>
      <c r="C137" s="233" t="s">
        <v>150</v>
      </c>
      <c r="D137" s="795" t="s">
        <v>243</v>
      </c>
      <c r="E137" s="233" t="s">
        <v>150</v>
      </c>
      <c r="F137" s="292"/>
      <c r="L137" s="1475"/>
      <c r="M137" s="1627"/>
      <c r="N137" s="1628"/>
      <c r="O137" s="1708"/>
      <c r="P137" s="1629"/>
      <c r="Q137" s="1709"/>
      <c r="R137" s="1710"/>
      <c r="S137" s="171"/>
      <c r="T137" s="1709"/>
      <c r="U137" s="1710"/>
      <c r="V137" s="1475"/>
      <c r="W137" s="1475"/>
      <c r="X137" s="1475"/>
      <c r="Y137" s="1475"/>
      <c r="Z137" s="1357"/>
      <c r="AA137" s="2"/>
      <c r="AN137" s="1357"/>
      <c r="AR137" s="1441"/>
    </row>
    <row r="138" spans="1:44" ht="15" thickBot="1" x14ac:dyDescent="0.35">
      <c r="A138" s="5" t="s">
        <v>415</v>
      </c>
      <c r="B138" s="244" t="s">
        <v>110</v>
      </c>
      <c r="C138" s="61" t="str">
        <f>IF(C137="Maand","Maandloon",IF(C137="4 Weken","4-Wekenloon",IF(C137="Anders","Anders","")))</f>
        <v>Maandloon</v>
      </c>
      <c r="D138" s="61" t="s">
        <v>1</v>
      </c>
      <c r="E138" s="61" t="str">
        <f>IF(E137="Maand","Maandloon",IF(E137="4 Weken","4-Wekenloon",IF(E137="Anders","Anders","")))</f>
        <v>Maandloon</v>
      </c>
      <c r="F138" s="61" t="s">
        <v>1</v>
      </c>
      <c r="G138" s="2107" t="s">
        <v>362</v>
      </c>
      <c r="H138" s="1983"/>
      <c r="I138" s="1983"/>
      <c r="J138" s="1984"/>
      <c r="M138" s="1687">
        <f>N136</f>
        <v>9694</v>
      </c>
      <c r="N138" s="1171">
        <v>20940</v>
      </c>
      <c r="O138" s="621">
        <v>170</v>
      </c>
      <c r="P138" s="48">
        <v>0.28711999999999999</v>
      </c>
      <c r="Q138" s="1711">
        <f>IF(AND($Q$134&gt;$M138,$Q$134&lt;=$N138),$O138+($P138*($Q$134-$M138)),0)</f>
        <v>0</v>
      </c>
      <c r="R138" s="1712">
        <f>IF(AND($R$134&gt;$M138,$R$134&lt;=$N138),$O138+($P138*($R$134-$M138)),0)</f>
        <v>0</v>
      </c>
      <c r="S138" s="93" t="s">
        <v>200</v>
      </c>
      <c r="T138" s="1711">
        <f>IF(AND($T$134&gt;$M138,$T$134&lt;=$N138),$O138+($P138*($T$134-$M138)),0)</f>
        <v>0</v>
      </c>
      <c r="U138" s="1712">
        <f>IF(AND($U$134&gt;$M138,$U$134&lt;=$N138),$O138+($P138*($U$134-$M138)),0)</f>
        <v>0</v>
      </c>
      <c r="Y138" s="270"/>
      <c r="Z138" s="1357"/>
      <c r="AA138" s="2"/>
      <c r="AN138" s="1357"/>
      <c r="AR138" s="1441"/>
    </row>
    <row r="139" spans="1:44" x14ac:dyDescent="0.3">
      <c r="A139" s="234"/>
      <c r="B139" s="245" t="s">
        <v>246</v>
      </c>
      <c r="C139" s="214">
        <v>0</v>
      </c>
      <c r="D139" s="543">
        <f>IF(C$24="Maand",C139*12,IF(C$24="4 Weken",C139*13,0))</f>
        <v>0</v>
      </c>
      <c r="E139" s="214">
        <v>0</v>
      </c>
      <c r="F139" s="543">
        <f>IF(E$24="Maand",E139*12,IF(E$24="4 Weken",E139*13,0))</f>
        <v>0</v>
      </c>
      <c r="G139" s="2093" t="s">
        <v>681</v>
      </c>
      <c r="H139" s="1986"/>
      <c r="I139" s="1986"/>
      <c r="J139" s="1987"/>
      <c r="M139" s="1687">
        <f>N138</f>
        <v>20940</v>
      </c>
      <c r="N139" s="1171">
        <v>34060</v>
      </c>
      <c r="O139" s="1172">
        <v>3399</v>
      </c>
      <c r="P139" s="48"/>
      <c r="Q139" s="1711">
        <f>IF(AND($Q$134&gt;$M139,$Q$134&lt;=$N139),$O139,0)</f>
        <v>0</v>
      </c>
      <c r="R139" s="1712">
        <f>IF(AND($R$134&gt;$M139,$R$134&lt;=$N139),$O139,0)</f>
        <v>0</v>
      </c>
      <c r="S139" s="93" t="s">
        <v>201</v>
      </c>
      <c r="T139" s="1711">
        <f>IF(AND($T$134&gt;$M139,$T$134&lt;=$N139),$O139,0)</f>
        <v>0</v>
      </c>
      <c r="U139" s="1712">
        <f>IF(AND($U$134&gt;$M139,$U$134&lt;=$N139),$O139,0)</f>
        <v>0</v>
      </c>
      <c r="Y139" s="270"/>
      <c r="Z139" s="1357"/>
      <c r="AA139" s="2"/>
      <c r="AN139" s="1357"/>
      <c r="AR139" s="1441"/>
    </row>
    <row r="140" spans="1:44" ht="15" customHeight="1" thickBot="1" x14ac:dyDescent="0.35">
      <c r="A140" s="387"/>
      <c r="B140" s="246" t="s">
        <v>247</v>
      </c>
      <c r="C140" s="87">
        <v>0</v>
      </c>
      <c r="D140" s="544">
        <f>IF(C$24="Maand",C140*12,IF(C$24="4 Weken",C140*13,0))</f>
        <v>0</v>
      </c>
      <c r="E140" s="87">
        <v>0</v>
      </c>
      <c r="F140" s="544">
        <f>IF(E$24="Maand",E140*12,IF(E$24="4 Weken",E140*13,0))</f>
        <v>0</v>
      </c>
      <c r="G140" s="2077" t="s">
        <v>682</v>
      </c>
      <c r="H140" s="1954"/>
      <c r="I140" s="1954"/>
      <c r="J140" s="1955"/>
      <c r="L140" s="77"/>
      <c r="M140" s="1687">
        <f>N139</f>
        <v>34060</v>
      </c>
      <c r="N140" s="1171">
        <v>90710</v>
      </c>
      <c r="O140" s="621">
        <v>0</v>
      </c>
      <c r="P140" s="48">
        <v>0.06</v>
      </c>
      <c r="Q140" s="1711">
        <f>IF(AND($Q$134&gt;$M140,$Q$134&lt;=$N140),$O139-(P140*($Q$134-M140)),0)</f>
        <v>0</v>
      </c>
      <c r="R140" s="1712">
        <f>IF(AND($R$134&gt;$M140,$R$134&lt;=$N140),$O139-(P140*($R$134-M140)),0)</f>
        <v>0</v>
      </c>
      <c r="S140" s="93" t="s">
        <v>202</v>
      </c>
      <c r="T140" s="1711">
        <f>IF(AND($T$134&gt;$M140,$T$134&lt;=$N140),$O139-(P140*($T$134-M140)),0)</f>
        <v>0</v>
      </c>
      <c r="U140" s="1712">
        <f>IF(AND($U$134&gt;$M140,$U$134&lt;=$N140),$O139-(P140*($U$134-M140)),0)</f>
        <v>0</v>
      </c>
      <c r="Z140" s="1357"/>
      <c r="AA140" s="2"/>
      <c r="AN140" s="1357"/>
      <c r="AR140" s="1441"/>
    </row>
    <row r="141" spans="1:44" ht="15" thickBot="1" x14ac:dyDescent="0.35">
      <c r="A141" s="388" t="s">
        <v>53</v>
      </c>
      <c r="B141" s="247" t="s">
        <v>515</v>
      </c>
      <c r="C141" s="79">
        <f>SUM(C139:C140)</f>
        <v>0</v>
      </c>
      <c r="D141" s="79">
        <f>SUM(D139:D140)</f>
        <v>0</v>
      </c>
      <c r="E141" s="79">
        <f>SUM(E139:E140)</f>
        <v>0</v>
      </c>
      <c r="F141" s="79">
        <f>SUM(F139:F140)</f>
        <v>0</v>
      </c>
      <c r="M141" s="1688">
        <f>N140</f>
        <v>90710</v>
      </c>
      <c r="N141" s="1173" t="s">
        <v>107</v>
      </c>
      <c r="O141" s="1174" t="s">
        <v>108</v>
      </c>
      <c r="P141" s="49"/>
      <c r="Q141" s="1713">
        <v>0</v>
      </c>
      <c r="R141" s="1714">
        <v>0</v>
      </c>
      <c r="S141" s="94"/>
      <c r="T141" s="1713">
        <v>0</v>
      </c>
      <c r="U141" s="1714">
        <v>0</v>
      </c>
      <c r="Z141" s="1357"/>
      <c r="AA141" s="2"/>
      <c r="AN141" s="1357"/>
      <c r="AR141" s="1441"/>
    </row>
    <row r="142" spans="1:44" ht="15" thickBot="1" x14ac:dyDescent="0.35">
      <c r="M142" s="1923" t="s">
        <v>199</v>
      </c>
      <c r="N142" s="1924"/>
      <c r="O142" s="1924"/>
      <c r="P142" s="1924"/>
      <c r="Q142" s="817" t="str">
        <f>IF($C$10="Ja","Zie AOW-tabel",SUM(Q136:Q141))</f>
        <v>Zie AOW-tabel</v>
      </c>
      <c r="R142" s="1481" t="str">
        <f>IF($D$10="Ja","Zie AOW-tabel",SUM(R136:R141))</f>
        <v>Zie AOW-tabel</v>
      </c>
      <c r="T142" s="817" t="str">
        <f>IF($C$10="Ja","Zie AOW-tabel",SUM(T136:T141))</f>
        <v>Zie AOW-tabel</v>
      </c>
      <c r="U142" s="1481" t="str">
        <f>IF($D$10="Ja","Zie AOW-tabel",SUM(U136:U141))</f>
        <v>Zie AOW-tabel</v>
      </c>
      <c r="Z142" s="1357"/>
      <c r="AA142" s="2"/>
      <c r="AN142" s="1357"/>
      <c r="AR142" s="1441"/>
    </row>
    <row r="143" spans="1:44" ht="15" thickBot="1" x14ac:dyDescent="0.35">
      <c r="B143" s="240" t="s">
        <v>371</v>
      </c>
      <c r="E143" s="292"/>
      <c r="F143" s="292"/>
      <c r="L143" s="270"/>
      <c r="M143" s="270"/>
      <c r="N143" s="270"/>
      <c r="O143" s="270"/>
      <c r="P143" s="270"/>
      <c r="Q143" s="770"/>
      <c r="R143" s="270"/>
      <c r="S143" s="270"/>
      <c r="T143" s="270"/>
      <c r="U143" s="270"/>
      <c r="W143" s="270"/>
      <c r="Z143" s="1357"/>
      <c r="AA143" s="2"/>
      <c r="AN143" s="1357"/>
      <c r="AR143" s="1441"/>
    </row>
    <row r="144" spans="1:44" ht="15" thickBot="1" x14ac:dyDescent="0.35">
      <c r="A144" s="99" t="s">
        <v>415</v>
      </c>
      <c r="B144" s="677" t="s">
        <v>160</v>
      </c>
      <c r="C144" s="130" t="s">
        <v>120</v>
      </c>
      <c r="L144" s="2">
        <v>115</v>
      </c>
      <c r="M144" s="211" t="s">
        <v>704</v>
      </c>
      <c r="N144" s="64" t="s">
        <v>706</v>
      </c>
      <c r="O144" s="765"/>
      <c r="P144" s="765"/>
      <c r="Q144" s="1169"/>
      <c r="R144" s="1169"/>
      <c r="S144" s="764"/>
      <c r="U144" s="270"/>
      <c r="W144" s="270"/>
      <c r="Z144" s="1357"/>
      <c r="AA144" s="2"/>
      <c r="AN144" s="1357"/>
      <c r="AR144" s="1441"/>
    </row>
    <row r="145" spans="1:44" ht="15" thickBot="1" x14ac:dyDescent="0.35">
      <c r="A145" s="1660">
        <v>101</v>
      </c>
      <c r="B145" s="1661" t="s">
        <v>367</v>
      </c>
      <c r="C145" s="1663">
        <v>0.25</v>
      </c>
      <c r="M145" s="44" t="s">
        <v>197</v>
      </c>
      <c r="N145" s="45" t="s">
        <v>106</v>
      </c>
      <c r="O145" s="83" t="s">
        <v>198</v>
      </c>
      <c r="P145" s="743" t="s">
        <v>120</v>
      </c>
      <c r="Q145" s="61" t="str">
        <f>$C$4</f>
        <v>AP</v>
      </c>
      <c r="R145" s="156" t="str">
        <f>$D$4</f>
        <v>AG</v>
      </c>
      <c r="S145" s="115" t="s">
        <v>203</v>
      </c>
      <c r="T145" s="138" t="str">
        <f>$C$4</f>
        <v>AP</v>
      </c>
      <c r="U145" s="110" t="str">
        <f>$D$4</f>
        <v>AG</v>
      </c>
      <c r="Z145" s="1357"/>
      <c r="AA145" s="2"/>
      <c r="AN145" s="1357"/>
      <c r="AR145" s="1441"/>
    </row>
    <row r="146" spans="1:44" x14ac:dyDescent="0.3">
      <c r="A146" s="658">
        <v>112</v>
      </c>
      <c r="B146" s="1662" t="s">
        <v>370</v>
      </c>
      <c r="C146" s="1664">
        <v>0.3</v>
      </c>
      <c r="M146" s="1162">
        <v>0</v>
      </c>
      <c r="N146" s="1170">
        <v>9694</v>
      </c>
      <c r="O146" s="635">
        <v>0</v>
      </c>
      <c r="P146" s="47">
        <v>8.9800000000000001E-3</v>
      </c>
      <c r="Q146" s="1715">
        <f>IF(AND($Q$134&gt;$M146,$Q$134&lt;=$N146),P146*$Q$134,0)</f>
        <v>0</v>
      </c>
      <c r="R146" s="1716">
        <f>IF(AND($R$134&gt;$M146,$R$134&lt;=$N146),P146*$R$134,0)</f>
        <v>0</v>
      </c>
      <c r="S146" s="91" t="s">
        <v>906</v>
      </c>
      <c r="T146" s="1706">
        <f>IF(AND($T$134&gt;$M146,$T$134&lt;=$N146),P146*$T$134,0)</f>
        <v>0</v>
      </c>
      <c r="U146" s="1707">
        <f>IF(AND($U$134&gt;$M146,$U$134&lt;=$N146),P146*$U$134,0)</f>
        <v>0</v>
      </c>
      <c r="Z146" s="1357"/>
      <c r="AA146" s="2"/>
      <c r="AN146" s="1475"/>
      <c r="AO146" s="1475"/>
      <c r="AR146" s="1441"/>
    </row>
    <row r="147" spans="1:44" x14ac:dyDescent="0.3">
      <c r="A147" s="658">
        <v>74</v>
      </c>
      <c r="B147" s="1542" t="s">
        <v>597</v>
      </c>
      <c r="C147" s="1664">
        <v>0.14000000000000001</v>
      </c>
      <c r="M147" s="1687">
        <f>N146</f>
        <v>9694</v>
      </c>
      <c r="N147" s="1171">
        <v>20940</v>
      </c>
      <c r="O147" s="621">
        <v>88</v>
      </c>
      <c r="P147" s="48">
        <v>0.14688999999999999</v>
      </c>
      <c r="Q147" s="1717">
        <f>IF(AND($Q$134&gt;$M147,$Q$134&lt;=$N147),$O147+($P147*($Q$134-$M147)),0)</f>
        <v>0</v>
      </c>
      <c r="R147" s="1718">
        <f>IF(AND($R$134&gt;$M147,$R$134&lt;=$N147),$O147+($P147*($R$134-$M147)),0)</f>
        <v>0</v>
      </c>
      <c r="S147" s="93" t="s">
        <v>200</v>
      </c>
      <c r="T147" s="1711">
        <f>IF(AND($T$134&gt;$M147,$T$134&lt;=$N147),$O147+($P147*($T$134-$M147)),0)</f>
        <v>0</v>
      </c>
      <c r="U147" s="1712">
        <f>IF(AND($U$134&gt;$M147,$U$134&lt;=$N147),$O147+($P147*($U$134-$M147)),0)</f>
        <v>0</v>
      </c>
      <c r="W147" s="270"/>
      <c r="Z147" s="1357"/>
      <c r="AA147" s="2"/>
      <c r="AN147" s="1475"/>
      <c r="AO147" s="1475"/>
      <c r="AR147" s="1441"/>
    </row>
    <row r="148" spans="1:44" x14ac:dyDescent="0.3">
      <c r="A148" s="658" t="s">
        <v>600</v>
      </c>
      <c r="B148" s="1542" t="s">
        <v>601</v>
      </c>
      <c r="C148" s="1665">
        <v>3100</v>
      </c>
      <c r="D148" s="1196" t="s">
        <v>608</v>
      </c>
      <c r="M148" s="1687">
        <f>N147</f>
        <v>20940</v>
      </c>
      <c r="N148" s="1171">
        <v>34060</v>
      </c>
      <c r="O148" s="1172">
        <v>1740</v>
      </c>
      <c r="P148" s="48"/>
      <c r="Q148" s="1717">
        <f>IF(AND($Q$134&gt;$M148,$Q$134&lt;=$N148),$O148,0)</f>
        <v>0</v>
      </c>
      <c r="R148" s="1718">
        <f>IF(AND($R$134&gt;$M148,$R$134&lt;=$N148),$O148,0)</f>
        <v>0</v>
      </c>
      <c r="S148" s="93" t="s">
        <v>201</v>
      </c>
      <c r="T148" s="1711">
        <f>IF(AND($T$134&gt;$M148,$T$134&lt;=$N148),$O148,0)</f>
        <v>0</v>
      </c>
      <c r="U148" s="1712">
        <f>IF(AND($U$134&gt;$M148,$U$134&lt;=$N148),$O148,0)</f>
        <v>0</v>
      </c>
      <c r="W148" s="270"/>
      <c r="Z148" s="1357"/>
      <c r="AA148" s="2"/>
      <c r="AN148" s="1475"/>
      <c r="AO148" s="1475"/>
      <c r="AR148" s="1441"/>
    </row>
    <row r="149" spans="1:44" x14ac:dyDescent="0.3">
      <c r="A149" s="1829" t="s">
        <v>54</v>
      </c>
      <c r="B149" s="1542" t="s">
        <v>903</v>
      </c>
      <c r="C149" s="1664">
        <v>5.7000000000000002E-2</v>
      </c>
      <c r="D149" s="1459" t="s">
        <v>815</v>
      </c>
      <c r="K149" s="1504"/>
      <c r="M149" s="1687">
        <f>N148</f>
        <v>34060</v>
      </c>
      <c r="N149" s="1171">
        <v>90710</v>
      </c>
      <c r="O149" s="621">
        <v>0</v>
      </c>
      <c r="P149" s="48">
        <v>3.0689999999999999E-2</v>
      </c>
      <c r="Q149" s="1717">
        <f>IF(AND($Q$134&gt;$M149,$Q$134&lt;=$N149),$O148-(P149*($Q$134-M149)),0)</f>
        <v>0</v>
      </c>
      <c r="R149" s="1718">
        <f>IF(AND($R$134&gt;$M149,$R$134&lt;=$N149),$O148-(P149*($R$134-M149)),0)</f>
        <v>0</v>
      </c>
      <c r="S149" s="93" t="s">
        <v>202</v>
      </c>
      <c r="T149" s="1711">
        <f>IF(AND($T$134&gt;$M149,$T$134&lt;=$N149),$O148-(P149*($T$134-M149)),0)</f>
        <v>0</v>
      </c>
      <c r="U149" s="1712">
        <f>IF(AND($U$134&gt;$M149,$U$134&lt;=$N149),$O148-(P149*($U$134-M149)),0)</f>
        <v>0</v>
      </c>
      <c r="Z149" s="1357"/>
      <c r="AA149" s="2"/>
      <c r="AN149" s="1475"/>
      <c r="AO149" s="1475"/>
      <c r="AR149" s="1441"/>
    </row>
    <row r="150" spans="1:44" ht="15" thickBot="1" x14ac:dyDescent="0.35">
      <c r="A150" s="1829"/>
      <c r="B150" s="1542" t="s">
        <v>902</v>
      </c>
      <c r="C150" s="1665">
        <v>55927</v>
      </c>
      <c r="D150" s="1459"/>
      <c r="E150" s="1504"/>
      <c r="F150" s="1504"/>
      <c r="G150" s="1504"/>
      <c r="H150" s="1504"/>
      <c r="I150" s="1504"/>
      <c r="J150" s="1504"/>
      <c r="M150" s="1688">
        <f>N149</f>
        <v>90710</v>
      </c>
      <c r="N150" s="1173" t="s">
        <v>107</v>
      </c>
      <c r="O150" s="1174" t="s">
        <v>108</v>
      </c>
      <c r="P150" s="49"/>
      <c r="Q150" s="1719">
        <v>0</v>
      </c>
      <c r="R150" s="1510">
        <v>0</v>
      </c>
      <c r="S150" s="94"/>
      <c r="T150" s="1713">
        <v>0</v>
      </c>
      <c r="U150" s="1714">
        <v>0</v>
      </c>
      <c r="Z150" s="1357"/>
      <c r="AA150" s="2"/>
      <c r="AN150" s="1475"/>
      <c r="AO150" s="1475"/>
      <c r="AR150" s="1441"/>
    </row>
    <row r="151" spans="1:44" ht="15" customHeight="1" thickBot="1" x14ac:dyDescent="0.35">
      <c r="A151" s="658">
        <v>121</v>
      </c>
      <c r="B151" s="1542" t="s">
        <v>333</v>
      </c>
      <c r="C151" s="1664">
        <v>0.3</v>
      </c>
      <c r="M151" s="1923" t="s">
        <v>199</v>
      </c>
      <c r="N151" s="1924"/>
      <c r="O151" s="1924"/>
      <c r="P151" s="1924"/>
      <c r="Q151" s="160">
        <f>IF($C$10="Nee","Zie WERK-tabel",SUM(Q146:Q150))</f>
        <v>0</v>
      </c>
      <c r="R151" s="161">
        <f>IF($D$10="Nee","Zie WERK-tabel",SUM(R146:R150))</f>
        <v>0</v>
      </c>
      <c r="S151" s="742"/>
      <c r="T151" s="160">
        <f>IF($C$10="Nee","Zie WERK-tabel",SUM(T146:T150))</f>
        <v>0</v>
      </c>
      <c r="U151" s="161">
        <f>IF($D$10="Nee","Zie WERK-tabel",SUM(U146:U150))</f>
        <v>0</v>
      </c>
      <c r="Z151" s="1357"/>
      <c r="AA151" s="2"/>
      <c r="AN151" s="1475"/>
      <c r="AO151" s="1475"/>
      <c r="AR151" s="1441"/>
    </row>
    <row r="152" spans="1:44" ht="15" thickBot="1" x14ac:dyDescent="0.35">
      <c r="A152" s="1541">
        <v>123</v>
      </c>
      <c r="B152" s="1830" t="s">
        <v>332</v>
      </c>
      <c r="C152" s="1666">
        <v>0.3</v>
      </c>
      <c r="AN152" s="1475"/>
      <c r="AO152" s="1475"/>
      <c r="AR152" s="1441"/>
    </row>
    <row r="153" spans="1:44" ht="15" thickBot="1" x14ac:dyDescent="0.35">
      <c r="L153" s="270">
        <v>115</v>
      </c>
      <c r="M153" s="103" t="s">
        <v>375</v>
      </c>
      <c r="O153" s="76" t="s">
        <v>224</v>
      </c>
      <c r="T153" s="1963" t="s">
        <v>818</v>
      </c>
      <c r="U153" s="1964"/>
      <c r="W153" s="1475"/>
      <c r="X153" s="1475"/>
      <c r="Y153" s="1475"/>
      <c r="AM153" s="1357"/>
      <c r="AO153" s="1357"/>
      <c r="AR153" s="1441"/>
    </row>
    <row r="154" spans="1:44" ht="15" thickBot="1" x14ac:dyDescent="0.35">
      <c r="A154" s="5"/>
      <c r="B154" s="261" t="s">
        <v>915</v>
      </c>
      <c r="C154" s="144" t="str">
        <f>$C$4</f>
        <v>AP</v>
      </c>
      <c r="D154" s="61" t="str">
        <f>$D$4</f>
        <v>AG</v>
      </c>
      <c r="E154" s="130" t="s">
        <v>686</v>
      </c>
      <c r="O154" s="1956" t="s">
        <v>315</v>
      </c>
      <c r="P154" s="1957"/>
      <c r="Q154" s="95">
        <f>'Alimentatie 2019-2 (Juli)'!$E$104</f>
        <v>0</v>
      </c>
      <c r="R154" s="96">
        <f>'Alimentatie 2019-2 (Juli)'!$G$104</f>
        <v>0</v>
      </c>
      <c r="S154" s="139" t="s">
        <v>316</v>
      </c>
      <c r="T154" s="1467">
        <f>Q154-Jusvergelijking!$H$12</f>
        <v>0</v>
      </c>
      <c r="U154" s="1466">
        <f>R154+Jusvergelijking!$H$12</f>
        <v>0</v>
      </c>
      <c r="V154" s="139" t="s">
        <v>909</v>
      </c>
      <c r="W154" s="1475"/>
      <c r="X154" s="1475"/>
      <c r="Y154" s="1475"/>
      <c r="AM154" s="1357"/>
      <c r="AO154" s="1357"/>
      <c r="AR154" s="1441"/>
    </row>
    <row r="155" spans="1:44" ht="15" thickBot="1" x14ac:dyDescent="0.35">
      <c r="A155" s="1227">
        <v>137</v>
      </c>
      <c r="B155" s="1831" t="s">
        <v>914</v>
      </c>
      <c r="C155" s="1845">
        <v>0.6</v>
      </c>
      <c r="D155" s="1845">
        <v>0.6</v>
      </c>
      <c r="E155" s="1832">
        <v>0.7</v>
      </c>
      <c r="M155" s="44" t="s">
        <v>197</v>
      </c>
      <c r="N155" s="45" t="s">
        <v>106</v>
      </c>
      <c r="O155" s="83" t="s">
        <v>198</v>
      </c>
      <c r="P155" s="84" t="s">
        <v>120</v>
      </c>
      <c r="Q155" s="61" t="str">
        <f>$C$4</f>
        <v>AP</v>
      </c>
      <c r="R155" s="156" t="str">
        <f>$D$4</f>
        <v>AG</v>
      </c>
      <c r="S155" s="273" t="s">
        <v>203</v>
      </c>
      <c r="T155" s="61" t="str">
        <f>$C$4</f>
        <v>AP</v>
      </c>
      <c r="U155" s="156" t="str">
        <f>$D$4</f>
        <v>AG</v>
      </c>
      <c r="W155" s="1475"/>
      <c r="X155" s="1475"/>
      <c r="Y155" s="1475"/>
      <c r="AM155" s="1357"/>
      <c r="AO155" s="1357"/>
      <c r="AR155" s="1441"/>
    </row>
    <row r="156" spans="1:44" ht="15" thickBot="1" x14ac:dyDescent="0.35">
      <c r="L156" s="270"/>
      <c r="M156" s="1199">
        <v>0</v>
      </c>
      <c r="N156" s="1198">
        <v>36783</v>
      </c>
      <c r="O156" s="39">
        <v>1596</v>
      </c>
      <c r="P156" s="1689"/>
      <c r="Q156" s="1720">
        <f>IF(AND($Q$154&gt;$M156,$Q$154&lt;=$N156),$O156,0)</f>
        <v>0</v>
      </c>
      <c r="R156" s="1721">
        <f>IF(AND($R$154&gt;$M156,$R$154&lt;=$N156),$O156,0)</f>
        <v>0</v>
      </c>
      <c r="S156" s="91" t="s">
        <v>223</v>
      </c>
      <c r="T156" s="1690">
        <f>IF(AND($T$154&gt;$M156,$T$154&lt;=$N156),$O156,0)</f>
        <v>0</v>
      </c>
      <c r="U156" s="1690">
        <f>IF(AND($U$154&gt;$M156,$U$154&lt;=$N156),$O156,0)</f>
        <v>0</v>
      </c>
      <c r="W156" s="1475"/>
      <c r="X156" s="1475"/>
      <c r="Y156" s="1475"/>
      <c r="AM156" s="1357"/>
      <c r="AO156" s="1357"/>
      <c r="AR156" s="1441"/>
    </row>
    <row r="157" spans="1:44" ht="15" thickBot="1" x14ac:dyDescent="0.35">
      <c r="L157" s="270"/>
      <c r="M157" s="1722">
        <f>N156</f>
        <v>36783</v>
      </c>
      <c r="N157" s="40">
        <v>47423</v>
      </c>
      <c r="O157" s="46">
        <v>0</v>
      </c>
      <c r="P157" s="1692">
        <v>0.15</v>
      </c>
      <c r="Q157" s="1277">
        <f>IF(AND($Q$154&gt;$M157,$Q$154&lt;=$N157),O156-($P157*($Q$154-M157)),0)</f>
        <v>0</v>
      </c>
      <c r="R157" s="1681">
        <f>IF(AND($R$154&gt;$M157,$R$154&lt;=$N157),O156-($P157*($R$154-M157)),0)</f>
        <v>0</v>
      </c>
      <c r="S157" s="93" t="s">
        <v>225</v>
      </c>
      <c r="T157" s="1693">
        <f>IF(AND($T$154&gt;$M157,$T$154&lt;=$N157),O156-($P157*($T$154-M157)),0)</f>
        <v>0</v>
      </c>
      <c r="U157" s="1693">
        <f>IF(AND($U$154&gt;$M157,$U$154&lt;=$N157),O156-($P157*($U$154-M157)),0)</f>
        <v>0</v>
      </c>
      <c r="W157" s="1475"/>
      <c r="X157" s="1475"/>
      <c r="Y157" s="1475"/>
      <c r="AM157" s="1357"/>
      <c r="AO157" s="1357"/>
      <c r="AR157" s="1441"/>
    </row>
    <row r="158" spans="1:44" ht="15" thickBot="1" x14ac:dyDescent="0.35">
      <c r="B158" s="240" t="s">
        <v>330</v>
      </c>
      <c r="C158" s="144" t="str">
        <f>$C$4</f>
        <v>AP</v>
      </c>
      <c r="D158" s="61" t="str">
        <f>$D$4</f>
        <v>AG</v>
      </c>
      <c r="M158" s="1723">
        <f>N157</f>
        <v>47423</v>
      </c>
      <c r="N158" s="766">
        <v>0</v>
      </c>
      <c r="O158" s="766">
        <v>0</v>
      </c>
      <c r="P158" s="1724"/>
      <c r="Q158" s="1725">
        <v>0</v>
      </c>
      <c r="R158" s="1726">
        <v>0</v>
      </c>
      <c r="S158" s="94">
        <v>0</v>
      </c>
      <c r="T158" s="1824">
        <v>0</v>
      </c>
      <c r="U158" s="1824">
        <v>0</v>
      </c>
      <c r="W158" s="1475"/>
      <c r="X158" s="1475"/>
      <c r="Y158" s="1475"/>
      <c r="AM158" s="1357"/>
      <c r="AO158" s="1357"/>
      <c r="AR158" s="1441"/>
    </row>
    <row r="159" spans="1:44" ht="15" thickBot="1" x14ac:dyDescent="0.35">
      <c r="A159" s="1227">
        <v>121</v>
      </c>
      <c r="B159" s="1228" t="s">
        <v>570</v>
      </c>
      <c r="C159" s="744">
        <f>'Alimentatie 2019-2 (Juli)'!F173-C229</f>
        <v>0</v>
      </c>
      <c r="D159" s="744">
        <f>'Alimentatie 2019-2 (Juli)'!H173-D229</f>
        <v>0</v>
      </c>
      <c r="E159" s="180"/>
      <c r="F159" s="180"/>
      <c r="M159" s="1923" t="s">
        <v>199</v>
      </c>
      <c r="N159" s="2094"/>
      <c r="O159" s="2094"/>
      <c r="P159" s="2094"/>
      <c r="Q159" s="767">
        <f>IF($C$16&gt;=YEAR($C$9),SUM(Q156:Q158),"n.v.t")</f>
        <v>0</v>
      </c>
      <c r="R159" s="768">
        <f>IF($C$16&gt;=YEAR($D$9),SUM(R156:R158),"n.v.t")</f>
        <v>0</v>
      </c>
      <c r="T159" s="1825">
        <f>IF($C$16&gt;=YEAR($C$9),SUM(T156:T158),"n.v.t")</f>
        <v>0</v>
      </c>
      <c r="U159" s="768">
        <f>IF($C$16&gt;=YEAR($D$9),SUM(U156:U158),"n.v.t")</f>
        <v>0</v>
      </c>
      <c r="W159" s="1475"/>
      <c r="X159" s="1475"/>
      <c r="Y159" s="1475"/>
      <c r="AM159" s="1357"/>
      <c r="AO159" s="1357"/>
      <c r="AR159" s="1441"/>
    </row>
    <row r="160" spans="1:44" ht="15" thickBot="1" x14ac:dyDescent="0.35">
      <c r="A160" s="99" t="s">
        <v>415</v>
      </c>
      <c r="B160" s="762" t="s">
        <v>160</v>
      </c>
      <c r="C160" s="144" t="str">
        <f>$C$4</f>
        <v>AP</v>
      </c>
      <c r="D160" s="61" t="str">
        <f>$D$4</f>
        <v>AG</v>
      </c>
      <c r="E160" s="796" t="s">
        <v>539</v>
      </c>
      <c r="F160" s="2107" t="s">
        <v>571</v>
      </c>
      <c r="G160" s="2069"/>
      <c r="H160" s="2069"/>
      <c r="I160" s="2069"/>
      <c r="J160" s="2070"/>
      <c r="M160" s="2104" t="s">
        <v>319</v>
      </c>
      <c r="N160" s="2105"/>
      <c r="O160" s="2105"/>
      <c r="P160" s="2105"/>
      <c r="Q160" s="2105"/>
      <c r="R160" s="2106"/>
      <c r="S160" s="769"/>
      <c r="W160" s="1475"/>
      <c r="X160" s="1475"/>
      <c r="Y160" s="1475"/>
      <c r="AM160" s="1357"/>
      <c r="AO160" s="1357"/>
      <c r="AR160" s="1441"/>
    </row>
    <row r="161" spans="1:44" x14ac:dyDescent="0.3">
      <c r="A161" s="812">
        <v>122</v>
      </c>
      <c r="B161" s="245" t="s">
        <v>569</v>
      </c>
      <c r="C161" s="1802">
        <f>IF(C$10="Nee",C177,C187)</f>
        <v>0</v>
      </c>
      <c r="D161" s="1802">
        <f>IF(D$10="Nee",D177,D187)</f>
        <v>0</v>
      </c>
      <c r="E161" s="808"/>
      <c r="F161" s="2014" t="s">
        <v>669</v>
      </c>
      <c r="G161" s="2015"/>
      <c r="H161" s="2015"/>
      <c r="I161" s="2015"/>
      <c r="J161" s="2016"/>
      <c r="U161" s="1475"/>
      <c r="V161" s="1475"/>
      <c r="W161" s="1475"/>
      <c r="X161" s="1475"/>
      <c r="Y161" s="1475"/>
      <c r="AM161" s="1357"/>
      <c r="AO161" s="1357"/>
      <c r="AR161" s="1441"/>
    </row>
    <row r="162" spans="1:44" ht="15" thickBot="1" x14ac:dyDescent="0.35">
      <c r="A162" s="154">
        <v>122</v>
      </c>
      <c r="B162" s="346" t="s">
        <v>683</v>
      </c>
      <c r="C162" s="1800">
        <f>IF(C$10="Nee",VLOOKUP(C$161,$C$170:$I$176,7),VLOOKUP(C$161,$C$181:$I$186,7))</f>
        <v>1020</v>
      </c>
      <c r="D162" s="1800">
        <f>IF(D$10="Nee",VLOOKUP(D$161,$D$170:$I$176,6),VLOOKUP(D$161,$D$181:$I$186,6))</f>
        <v>1020</v>
      </c>
      <c r="E162" s="1828"/>
      <c r="F162" s="2132" t="s">
        <v>684</v>
      </c>
      <c r="G162" s="1951"/>
      <c r="H162" s="1951"/>
      <c r="I162" s="1951"/>
      <c r="J162" s="1952"/>
      <c r="M162" s="103" t="s">
        <v>285</v>
      </c>
      <c r="O162" s="76" t="s">
        <v>286</v>
      </c>
      <c r="U162" s="1475"/>
      <c r="V162" s="1475"/>
      <c r="W162" s="1475"/>
      <c r="X162" s="1475"/>
      <c r="Y162" s="1475"/>
      <c r="AM162" s="1357"/>
      <c r="AO162" s="1357"/>
      <c r="AR162" s="1441"/>
    </row>
    <row r="163" spans="1:44" ht="15" thickBot="1" x14ac:dyDescent="0.35">
      <c r="A163" s="155">
        <v>123</v>
      </c>
      <c r="B163" s="803" t="s">
        <v>483</v>
      </c>
      <c r="C163" s="807">
        <v>0</v>
      </c>
      <c r="D163" s="807">
        <v>0</v>
      </c>
      <c r="E163" s="809">
        <v>0</v>
      </c>
      <c r="F163" s="2098" t="s">
        <v>670</v>
      </c>
      <c r="G163" s="2099"/>
      <c r="H163" s="2099"/>
      <c r="I163" s="2099"/>
      <c r="J163" s="2100"/>
      <c r="O163" s="1956" t="s">
        <v>326</v>
      </c>
      <c r="P163" s="2072"/>
      <c r="Q163" s="160">
        <f>'Alimentatie 2019-2 (Juli)'!$E104+'Alimentatie 2019-2 (Juli)'!$E92+'Alimentatie 2019-2 (Juli)'!$E115+'Alimentatie 2019-2 (Juli)'!$E140</f>
        <v>0</v>
      </c>
      <c r="R163" s="161">
        <f>'Alimentatie 2019-2 (Juli)'!$G$104+'Alimentatie 2019-2 (Juli)'!$G92+'Alimentatie 2019-2 (Juli)'!$G115+'Alimentatie 2019-2 (Juli)'!$G140</f>
        <v>0</v>
      </c>
      <c r="S163" s="173" t="s">
        <v>329</v>
      </c>
      <c r="U163" s="1475"/>
      <c r="V163" s="1475"/>
      <c r="W163" s="1475"/>
      <c r="X163" s="1475"/>
      <c r="Y163" s="1475"/>
      <c r="AM163" s="1357"/>
      <c r="AO163" s="1357"/>
      <c r="AR163" s="1441"/>
    </row>
    <row r="164" spans="1:44" ht="15" thickBot="1" x14ac:dyDescent="0.35">
      <c r="A164" s="154">
        <v>123</v>
      </c>
      <c r="B164" s="804" t="s">
        <v>482</v>
      </c>
      <c r="C164" s="176">
        <v>0</v>
      </c>
      <c r="D164" s="176">
        <v>0</v>
      </c>
      <c r="E164" s="810">
        <v>0</v>
      </c>
      <c r="F164" s="1195" t="s">
        <v>712</v>
      </c>
      <c r="G164" s="2013" t="s">
        <v>713</v>
      </c>
      <c r="H164" s="1926"/>
      <c r="I164" s="1926"/>
      <c r="J164" s="1927"/>
      <c r="M164" s="143" t="s">
        <v>197</v>
      </c>
      <c r="N164" s="128" t="s">
        <v>106</v>
      </c>
      <c r="O164" s="6" t="s">
        <v>198</v>
      </c>
      <c r="P164" s="129" t="s">
        <v>120</v>
      </c>
      <c r="Q164" s="162" t="str">
        <f>$C$4</f>
        <v>AP</v>
      </c>
      <c r="R164" s="130" t="str">
        <f>$D$4</f>
        <v>AG</v>
      </c>
      <c r="S164" s="172" t="s">
        <v>203</v>
      </c>
      <c r="U164" s="1475"/>
      <c r="V164" s="1475"/>
      <c r="W164" s="1475"/>
      <c r="X164" s="1475"/>
      <c r="Y164" s="1475"/>
      <c r="AM164" s="1357"/>
      <c r="AO164" s="1357"/>
      <c r="AR164" s="1441"/>
    </row>
    <row r="165" spans="1:44" x14ac:dyDescent="0.3">
      <c r="A165" s="154">
        <v>123</v>
      </c>
      <c r="B165" s="804" t="s">
        <v>662</v>
      </c>
      <c r="C165" s="1800">
        <f>IF(D116&gt;0.01,$E$165,0)</f>
        <v>0</v>
      </c>
      <c r="D165" s="1800">
        <f>IF(E128&gt;0.01,$E$165,0)</f>
        <v>0</v>
      </c>
      <c r="E165" s="810">
        <v>95</v>
      </c>
      <c r="F165" s="2101" t="s">
        <v>923</v>
      </c>
      <c r="G165" s="2102"/>
      <c r="H165" s="2102"/>
      <c r="I165" s="2102"/>
      <c r="J165" s="2103"/>
      <c r="M165" s="169">
        <v>0</v>
      </c>
      <c r="N165" s="126">
        <v>7739</v>
      </c>
      <c r="O165" s="170">
        <v>133</v>
      </c>
      <c r="P165" s="1727"/>
      <c r="Q165" s="1728">
        <f>IF(OR(Q$163&gt;N165,Q$163&lt;0.01),0,O165)</f>
        <v>0</v>
      </c>
      <c r="R165" s="1729">
        <f>IF(OR(R$163&gt;N165,ROUND(R$163,0.01)&lt;0.01),0,O165)</f>
        <v>0</v>
      </c>
      <c r="S165" s="171" t="s">
        <v>282</v>
      </c>
      <c r="U165" s="1475"/>
      <c r="V165" s="1475"/>
      <c r="W165" s="1475"/>
      <c r="X165" s="1475"/>
      <c r="Y165" s="1475"/>
      <c r="AM165" s="1357"/>
      <c r="AO165" s="1357"/>
      <c r="AR165" s="1441"/>
    </row>
    <row r="166" spans="1:44" ht="15" thickBot="1" x14ac:dyDescent="0.35">
      <c r="A166" s="71">
        <v>123</v>
      </c>
      <c r="B166" s="1835" t="s">
        <v>481</v>
      </c>
      <c r="C166" s="1804">
        <f>E166</f>
        <v>226</v>
      </c>
      <c r="D166" s="1804">
        <f>E166</f>
        <v>226</v>
      </c>
      <c r="E166" s="811">
        <v>226</v>
      </c>
      <c r="F166" s="2002" t="s">
        <v>685</v>
      </c>
      <c r="G166" s="2003"/>
      <c r="H166" s="2003"/>
      <c r="I166" s="2003"/>
      <c r="J166" s="2004"/>
      <c r="M166" s="1685">
        <f>N165</f>
        <v>7739</v>
      </c>
      <c r="N166" s="40">
        <v>41107</v>
      </c>
      <c r="O166" s="46">
        <v>0</v>
      </c>
      <c r="P166" s="1692">
        <v>1.6500000000000001E-2</v>
      </c>
      <c r="Q166" s="1277">
        <f>IF(OR(Q$163&lt;=M166,Q$163&gt;N166),0,O166+(P166*Q$163))</f>
        <v>0</v>
      </c>
      <c r="R166" s="1681">
        <f>IF(OR(R$163&lt;=M166,R$163&gt;N166),0,O166+(P166*R$163))</f>
        <v>0</v>
      </c>
      <c r="S166" s="93" t="s">
        <v>283</v>
      </c>
      <c r="U166" s="1475"/>
      <c r="V166" s="1475"/>
      <c r="W166" s="1475"/>
      <c r="X166" s="1475"/>
      <c r="Y166" s="1475"/>
      <c r="AM166" s="1357"/>
      <c r="AO166" s="1357"/>
      <c r="AR166" s="1441"/>
    </row>
    <row r="167" spans="1:44" ht="15" thickBot="1" x14ac:dyDescent="0.35">
      <c r="A167" s="761"/>
      <c r="B167" s="1833"/>
      <c r="C167" s="1834"/>
      <c r="D167" s="1834"/>
      <c r="E167" s="102"/>
      <c r="F167" s="2005"/>
      <c r="G167" s="2006"/>
      <c r="H167" s="2006"/>
      <c r="I167" s="2006"/>
      <c r="J167" s="2006"/>
      <c r="M167" s="1686">
        <f>N166</f>
        <v>41107</v>
      </c>
      <c r="N167" s="41">
        <v>0</v>
      </c>
      <c r="O167" s="41">
        <v>679</v>
      </c>
      <c r="P167" s="1695">
        <v>5.7500000000000002E-2</v>
      </c>
      <c r="Q167" s="1277">
        <f>IF(Q$163&gt;M167,O167+(P167*Q$163),0)</f>
        <v>0</v>
      </c>
      <c r="R167" s="1681">
        <f>IF(R$163&gt;M167,O167+(P167*R$163),0)</f>
        <v>0</v>
      </c>
      <c r="S167" s="94" t="s">
        <v>284</v>
      </c>
      <c r="U167" s="1475"/>
      <c r="V167" s="1475"/>
      <c r="W167" s="1475"/>
      <c r="X167" s="1475"/>
      <c r="Y167" s="1475"/>
      <c r="AM167" s="1357"/>
      <c r="AO167" s="1357"/>
      <c r="AR167" s="1441"/>
    </row>
    <row r="168" spans="1:44" ht="15" thickBot="1" x14ac:dyDescent="0.35">
      <c r="A168" s="54">
        <v>122</v>
      </c>
      <c r="B168" s="240" t="s">
        <v>657</v>
      </c>
      <c r="M168" s="1923" t="s">
        <v>199</v>
      </c>
      <c r="N168" s="2094"/>
      <c r="O168" s="2094"/>
      <c r="P168" s="2097"/>
      <c r="Q168" s="167">
        <f>SUM(Q165:Q167)</f>
        <v>0</v>
      </c>
      <c r="R168" s="168">
        <f>SUM(R165:R167)</f>
        <v>0</v>
      </c>
      <c r="U168" s="1475"/>
      <c r="V168" s="1475"/>
      <c r="W168" s="1475"/>
      <c r="X168" s="1475"/>
      <c r="Y168" s="1475"/>
      <c r="AM168" s="1357"/>
      <c r="AO168" s="1357"/>
      <c r="AR168" s="1441"/>
    </row>
    <row r="169" spans="1:44" ht="15" customHeight="1" thickBot="1" x14ac:dyDescent="0.35">
      <c r="A169" s="30" t="s">
        <v>415</v>
      </c>
      <c r="B169" s="244" t="s">
        <v>661</v>
      </c>
      <c r="C169" s="144" t="str">
        <f>$C$4</f>
        <v>AP</v>
      </c>
      <c r="D169" s="61" t="str">
        <f>$D$4</f>
        <v>AG</v>
      </c>
      <c r="E169" s="162" t="s">
        <v>658</v>
      </c>
      <c r="F169" s="130" t="s">
        <v>659</v>
      </c>
      <c r="G169" s="263" t="s">
        <v>120</v>
      </c>
      <c r="H169" s="6" t="s">
        <v>427</v>
      </c>
      <c r="I169" s="6" t="s">
        <v>660</v>
      </c>
      <c r="J169" s="264" t="s">
        <v>0</v>
      </c>
      <c r="M169" s="2010" t="s">
        <v>327</v>
      </c>
      <c r="N169" s="2011"/>
      <c r="O169" s="2011"/>
      <c r="P169" s="2011"/>
      <c r="Q169" s="2011"/>
      <c r="R169" s="2011"/>
      <c r="S169" s="2012"/>
      <c r="U169" s="1475"/>
      <c r="V169" s="1475"/>
      <c r="W169" s="1475"/>
      <c r="X169" s="1475"/>
      <c r="Y169" s="1475"/>
      <c r="AM169" s="1357"/>
      <c r="AO169" s="1357"/>
      <c r="AR169" s="1441"/>
    </row>
    <row r="170" spans="1:44" x14ac:dyDescent="0.3">
      <c r="A170" s="749"/>
      <c r="B170" s="380" t="str">
        <f>CONCATENATE("NBI van ",E170,": Minimum draagkracht")</f>
        <v>NBI van 0: Minimum draagkracht</v>
      </c>
      <c r="C170" s="1780">
        <f>IF(AND(C$159&gt;=$E170,C$159&lt;$F170),IF(OR(C$159=C$141,C$213=0),0,IF(C$213=1,I170,IF(C$213&gt;1,$J170*2,"???"))),"n.v.t")</f>
        <v>0</v>
      </c>
      <c r="D170" s="1780">
        <f>IF(AND(D$159&gt;=$E170,D$159&lt;$F170),IF(OR(D$159=E$141,D$213=0),0,IF(D$213=1,J170,IF(D$213&gt;1,$J170*2,"???"))),"n.v.t")</f>
        <v>0</v>
      </c>
      <c r="E170" s="1796">
        <v>0</v>
      </c>
      <c r="F170" s="1797">
        <v>1375</v>
      </c>
      <c r="G170" s="753"/>
      <c r="H170" s="383"/>
      <c r="I170" s="754">
        <v>900</v>
      </c>
      <c r="J170" s="759">
        <v>25</v>
      </c>
      <c r="U170" s="1475"/>
      <c r="V170" s="1475"/>
      <c r="W170" s="1475"/>
      <c r="X170" s="1475"/>
      <c r="Y170" s="1475"/>
      <c r="AM170" s="1357"/>
      <c r="AO170" s="1357"/>
      <c r="AR170" s="1441"/>
    </row>
    <row r="171" spans="1:44" ht="15.75" customHeight="1" thickBot="1" x14ac:dyDescent="0.35">
      <c r="A171" s="154"/>
      <c r="B171" s="346" t="str">
        <f t="shared" ref="B171:B176" si="33">CONCATENATE("NBI van ",E171,": ",G171*100,"% van (NBI - (",H171," x NBI + ",I171,")")</f>
        <v>NBI van 1375: 100% van (NBI - (0,3 x NBI + 900)</v>
      </c>
      <c r="C171" s="1786" t="str">
        <f t="shared" ref="C171:D175" si="34">IF(AND(C$159&gt;=$E171,C$159&lt;$F171),$J171,"n.v.t")</f>
        <v>n.v.t</v>
      </c>
      <c r="D171" s="1786" t="str">
        <f t="shared" si="34"/>
        <v>n.v.t</v>
      </c>
      <c r="E171" s="1277">
        <f t="shared" ref="E171:E176" si="35">F170</f>
        <v>1375</v>
      </c>
      <c r="F171" s="1798">
        <v>1425</v>
      </c>
      <c r="G171" s="750">
        <v>1</v>
      </c>
      <c r="H171" s="587">
        <v>0.3</v>
      </c>
      <c r="I171" s="92">
        <v>900</v>
      </c>
      <c r="J171" s="760">
        <v>63</v>
      </c>
      <c r="L171" s="1475">
        <v>82</v>
      </c>
      <c r="M171" s="43" t="s">
        <v>376</v>
      </c>
      <c r="O171" s="76" t="s">
        <v>167</v>
      </c>
      <c r="S171" s="1475"/>
      <c r="V171" s="1475"/>
      <c r="W171" s="1475"/>
      <c r="X171" s="1475"/>
      <c r="Y171" s="1475"/>
      <c r="AM171" s="1357"/>
      <c r="AO171" s="1357"/>
      <c r="AR171" s="1441"/>
    </row>
    <row r="172" spans="1:44" ht="15" thickBot="1" x14ac:dyDescent="0.35">
      <c r="A172" s="154"/>
      <c r="B172" s="346" t="str">
        <f t="shared" si="33"/>
        <v>NBI van 1425: 90% van (NBI - (0,3 x NBI + 900)</v>
      </c>
      <c r="C172" s="1786" t="str">
        <f t="shared" si="34"/>
        <v>n.v.t</v>
      </c>
      <c r="D172" s="1786" t="str">
        <f t="shared" si="34"/>
        <v>n.v.t</v>
      </c>
      <c r="E172" s="1277">
        <f t="shared" si="35"/>
        <v>1425</v>
      </c>
      <c r="F172" s="1798">
        <v>1475</v>
      </c>
      <c r="G172" s="750">
        <v>0.9</v>
      </c>
      <c r="H172" s="587">
        <v>0.3</v>
      </c>
      <c r="I172" s="92">
        <v>900</v>
      </c>
      <c r="J172" s="760">
        <v>88</v>
      </c>
      <c r="L172" s="1475"/>
      <c r="M172" s="2141" t="s">
        <v>155</v>
      </c>
      <c r="N172" s="2143" t="s">
        <v>156</v>
      </c>
      <c r="O172" s="1998" t="s">
        <v>159</v>
      </c>
      <c r="S172" s="1475"/>
      <c r="V172" s="1475"/>
      <c r="W172" s="1475"/>
      <c r="X172" s="1475"/>
      <c r="Y172" s="1475"/>
      <c r="AM172" s="1357"/>
      <c r="AO172" s="1357"/>
      <c r="AR172" s="1441"/>
    </row>
    <row r="173" spans="1:44" ht="15" thickBot="1" x14ac:dyDescent="0.35">
      <c r="A173" s="154"/>
      <c r="B173" s="346" t="str">
        <f t="shared" si="33"/>
        <v>NBI van 1475: 80% van (NBI - (0,3 x NBI + 900)</v>
      </c>
      <c r="C173" s="1786" t="str">
        <f t="shared" si="34"/>
        <v>n.v.t</v>
      </c>
      <c r="D173" s="1786" t="str">
        <f t="shared" si="34"/>
        <v>n.v.t</v>
      </c>
      <c r="E173" s="1277">
        <f t="shared" si="35"/>
        <v>1475</v>
      </c>
      <c r="F173" s="1798">
        <v>1525</v>
      </c>
      <c r="G173" s="750">
        <v>0.8</v>
      </c>
      <c r="H173" s="587">
        <v>0.3</v>
      </c>
      <c r="I173" s="92">
        <v>900</v>
      </c>
      <c r="J173" s="760">
        <v>106</v>
      </c>
      <c r="L173" s="1475"/>
      <c r="M173" s="2142"/>
      <c r="N173" s="2144"/>
      <c r="O173" s="1999"/>
      <c r="P173" s="53" t="s">
        <v>158</v>
      </c>
      <c r="Q173" s="78"/>
      <c r="S173" s="1475"/>
      <c r="V173" s="1475"/>
      <c r="W173" s="1475"/>
      <c r="X173" s="1475"/>
      <c r="Y173" s="1475"/>
      <c r="AM173" s="1357"/>
      <c r="AO173" s="1357"/>
      <c r="AR173" s="1441"/>
    </row>
    <row r="174" spans="1:44" x14ac:dyDescent="0.3">
      <c r="A174" s="154"/>
      <c r="B174" s="346" t="str">
        <f t="shared" si="33"/>
        <v>NBI van 1525: 70% van (NBI - (0,3 x NBI + 900)</v>
      </c>
      <c r="C174" s="1786" t="str">
        <f t="shared" si="34"/>
        <v>n.v.t</v>
      </c>
      <c r="D174" s="1786" t="str">
        <f t="shared" si="34"/>
        <v>n.v.t</v>
      </c>
      <c r="E174" s="1277">
        <f t="shared" si="35"/>
        <v>1525</v>
      </c>
      <c r="F174" s="1798">
        <v>1575</v>
      </c>
      <c r="G174" s="750">
        <v>0.7</v>
      </c>
      <c r="H174" s="587">
        <v>0.3</v>
      </c>
      <c r="I174" s="92">
        <v>900</v>
      </c>
      <c r="J174" s="760">
        <v>117</v>
      </c>
      <c r="L174" s="1475"/>
      <c r="M174" s="1730">
        <v>0</v>
      </c>
      <c r="N174" s="1731">
        <v>12500</v>
      </c>
      <c r="O174" s="1626">
        <v>0</v>
      </c>
      <c r="P174" s="1732">
        <v>0</v>
      </c>
      <c r="Q174" s="78"/>
      <c r="R174" s="1475"/>
      <c r="S174" s="1475"/>
      <c r="V174" s="1475"/>
      <c r="W174" s="1475"/>
      <c r="X174" s="1475"/>
      <c r="Y174" s="1475"/>
      <c r="AM174" s="1357"/>
      <c r="AO174" s="1357"/>
      <c r="AR174" s="1441"/>
    </row>
    <row r="175" spans="1:44" x14ac:dyDescent="0.3">
      <c r="A175" s="154"/>
      <c r="B175" s="346" t="str">
        <f t="shared" si="33"/>
        <v>NBI van 1575: 70% van (NBI - (0,3 x NBI + 925)</v>
      </c>
      <c r="C175" s="1786" t="str">
        <f t="shared" si="34"/>
        <v>n.v.t</v>
      </c>
      <c r="D175" s="1786" t="str">
        <f t="shared" si="34"/>
        <v>n.v.t</v>
      </c>
      <c r="E175" s="1277">
        <f t="shared" si="35"/>
        <v>1575</v>
      </c>
      <c r="F175" s="1798">
        <v>1625</v>
      </c>
      <c r="G175" s="750">
        <v>0.7</v>
      </c>
      <c r="H175" s="587">
        <v>0.3</v>
      </c>
      <c r="I175" s="92">
        <v>925</v>
      </c>
      <c r="J175" s="760">
        <v>124</v>
      </c>
      <c r="L175" s="1475"/>
      <c r="M175" s="1733">
        <f>N174</f>
        <v>12500</v>
      </c>
      <c r="N175" s="1732">
        <v>25000</v>
      </c>
      <c r="O175" s="28">
        <v>2.5000000000000001E-3</v>
      </c>
      <c r="P175" s="1732">
        <v>0</v>
      </c>
      <c r="Q175" s="78"/>
      <c r="R175" s="1475"/>
      <c r="S175" s="1475"/>
      <c r="V175" s="1475"/>
      <c r="W175" s="1475"/>
      <c r="X175" s="1475"/>
      <c r="Y175" s="1475"/>
      <c r="AR175" s="1441"/>
    </row>
    <row r="176" spans="1:44" ht="15" thickBot="1" x14ac:dyDescent="0.35">
      <c r="A176" s="71"/>
      <c r="B176" s="381" t="str">
        <f t="shared" si="33"/>
        <v>NBI van 1625: 70% van (NBI - (0,3 x NBI + 950)</v>
      </c>
      <c r="C176" s="1791" t="str">
        <f>IF(C$159&gt;=$E176,C$159,"n.v.t")</f>
        <v>n.v.t</v>
      </c>
      <c r="D176" s="1791" t="str">
        <f>IF(D$159&gt;=$E176,D$159,"n.v.t")</f>
        <v>n.v.t</v>
      </c>
      <c r="E176" s="1278">
        <f t="shared" si="35"/>
        <v>1625</v>
      </c>
      <c r="F176" s="1799"/>
      <c r="G176" s="751">
        <v>0.7</v>
      </c>
      <c r="H176" s="745">
        <v>0.3</v>
      </c>
      <c r="I176" s="746">
        <v>950</v>
      </c>
      <c r="J176" s="89">
        <v>131</v>
      </c>
      <c r="L176" s="1475"/>
      <c r="M176" s="1733">
        <f>N175</f>
        <v>25000</v>
      </c>
      <c r="N176" s="1732">
        <v>50000</v>
      </c>
      <c r="O176" s="28">
        <v>3.5000000000000001E-3</v>
      </c>
      <c r="P176" s="1732">
        <v>0</v>
      </c>
      <c r="Q176" s="78"/>
      <c r="S176" s="1475"/>
      <c r="V176" s="1475"/>
      <c r="W176" s="1475"/>
      <c r="X176" s="1475"/>
      <c r="Y176" s="1475"/>
      <c r="AR176" s="1441"/>
    </row>
    <row r="177" spans="1:44" ht="15" thickBot="1" x14ac:dyDescent="0.35">
      <c r="A177" s="763">
        <v>122</v>
      </c>
      <c r="B177" s="755" t="s">
        <v>663</v>
      </c>
      <c r="C177" s="134" t="str">
        <f>IF(C$10="Ja","Zie AOW-tabel",SUM(C170:C176))</f>
        <v>Zie AOW-tabel</v>
      </c>
      <c r="D177" s="134" t="str">
        <f>IF(D$10="Ja","Zie AOW-tabel",SUM(D170:D176))</f>
        <v>Zie AOW-tabel</v>
      </c>
      <c r="E177" s="722"/>
      <c r="F177" s="722"/>
      <c r="G177" s="722"/>
      <c r="H177" s="722"/>
      <c r="I177" s="722"/>
      <c r="J177" s="722"/>
      <c r="L177" s="1475"/>
      <c r="M177" s="1733">
        <f>N176</f>
        <v>50000</v>
      </c>
      <c r="N177" s="1732">
        <v>75000</v>
      </c>
      <c r="O177" s="28">
        <v>5.0000000000000001E-3</v>
      </c>
      <c r="P177" s="1732">
        <v>0</v>
      </c>
      <c r="Q177" s="78"/>
      <c r="S177" s="1475"/>
      <c r="V177" s="1475"/>
      <c r="W177" s="1475"/>
      <c r="X177" s="1475"/>
      <c r="Y177" s="1475"/>
      <c r="AR177" s="1441"/>
    </row>
    <row r="178" spans="1:44" ht="15" customHeight="1" x14ac:dyDescent="0.3">
      <c r="E178" s="722"/>
      <c r="F178" s="722"/>
      <c r="G178" s="722"/>
      <c r="H178" s="722"/>
      <c r="I178" s="722"/>
      <c r="J178" s="722"/>
      <c r="L178" s="1475"/>
      <c r="M178" s="1733">
        <f>N177</f>
        <v>75000</v>
      </c>
      <c r="N178" s="1732">
        <v>1080000</v>
      </c>
      <c r="O178" s="28">
        <v>6.4999999999999997E-3</v>
      </c>
      <c r="P178" s="1732">
        <v>0</v>
      </c>
      <c r="Q178" s="78"/>
      <c r="S178" s="1475"/>
      <c r="V178" s="1475"/>
      <c r="W178" s="1475"/>
      <c r="X178" s="1475"/>
      <c r="Y178" s="1475"/>
      <c r="AR178" s="1441"/>
    </row>
    <row r="179" spans="1:44" ht="15" thickBot="1" x14ac:dyDescent="0.35">
      <c r="A179" s="54">
        <v>122</v>
      </c>
      <c r="B179" s="240" t="s">
        <v>664</v>
      </c>
      <c r="E179" s="722"/>
      <c r="F179" s="722"/>
      <c r="G179" s="722"/>
      <c r="H179" s="722"/>
      <c r="I179" s="722"/>
      <c r="J179" s="722"/>
      <c r="L179" s="1475"/>
      <c r="M179" s="1734">
        <f>N178</f>
        <v>1080000</v>
      </c>
      <c r="N179" s="1735" t="s">
        <v>107</v>
      </c>
      <c r="O179" s="29">
        <v>2.35E-2</v>
      </c>
      <c r="P179" s="1736">
        <v>7020</v>
      </c>
      <c r="Q179" s="78"/>
      <c r="S179" s="1475"/>
      <c r="V179" s="1475"/>
      <c r="W179" s="1475"/>
      <c r="X179" s="1475"/>
      <c r="Y179" s="1475"/>
      <c r="AR179" s="1441"/>
    </row>
    <row r="180" spans="1:44" ht="15" thickBot="1" x14ac:dyDescent="0.35">
      <c r="A180" s="30" t="s">
        <v>415</v>
      </c>
      <c r="B180" s="244" t="s">
        <v>661</v>
      </c>
      <c r="C180" s="144" t="str">
        <f>$C$4</f>
        <v>AP</v>
      </c>
      <c r="D180" s="61" t="str">
        <f>$D$4</f>
        <v>AG</v>
      </c>
      <c r="E180" s="162" t="s">
        <v>658</v>
      </c>
      <c r="F180" s="130" t="s">
        <v>659</v>
      </c>
      <c r="G180" s="263" t="s">
        <v>120</v>
      </c>
      <c r="H180" s="6" t="s">
        <v>427</v>
      </c>
      <c r="I180" s="6" t="s">
        <v>660</v>
      </c>
      <c r="J180" s="721" t="s">
        <v>0</v>
      </c>
      <c r="L180" s="1475"/>
      <c r="S180" s="1475"/>
      <c r="V180" s="1475"/>
      <c r="W180" s="1475"/>
      <c r="X180" s="1475"/>
      <c r="Y180" s="1475"/>
      <c r="AR180" s="1441"/>
    </row>
    <row r="181" spans="1:44" ht="15" thickBot="1" x14ac:dyDescent="0.35">
      <c r="A181" s="749">
        <v>1</v>
      </c>
      <c r="B181" s="380" t="str">
        <f>CONCATENATE("NBI van ",E181,": Minimum draagkracht")</f>
        <v>NBI van 0: Minimum draagkracht</v>
      </c>
      <c r="C181" s="1780">
        <f>IF(AND(C$159&gt;=$E181,C$159&lt;$F181),IF(OR(C$159=C$141,C$213=0),0,IF(C$213=1,I181,IF(C$213&gt;1,$J181*2,"???"))),"n.v.t")</f>
        <v>0</v>
      </c>
      <c r="D181" s="1780">
        <f>IF(AND(D$159&gt;=$E181,D$159&lt;$F181),IF(OR(D$159=E$141,D$213=0),0,IF(D$213=1,J181,IF(D$213&gt;1,$J181*2,"???"))),"n.v.t")</f>
        <v>0</v>
      </c>
      <c r="E181" s="1781">
        <v>0</v>
      </c>
      <c r="F181" s="1782">
        <v>1560</v>
      </c>
      <c r="G181" s="1783"/>
      <c r="H181" s="1784"/>
      <c r="I181" s="1785">
        <v>1020</v>
      </c>
      <c r="J181" s="1782">
        <v>25</v>
      </c>
      <c r="M181" s="80" t="s">
        <v>631</v>
      </c>
      <c r="V181" s="1475"/>
      <c r="W181" s="1475"/>
      <c r="X181" s="1475"/>
      <c r="Y181" s="1475"/>
      <c r="AR181" s="1441"/>
    </row>
    <row r="182" spans="1:44" ht="15" thickBot="1" x14ac:dyDescent="0.35">
      <c r="A182" s="154">
        <v>2</v>
      </c>
      <c r="B182" s="346" t="str">
        <f>CONCATENATE("NBI van ",E182,": ",G182*100,"% van (NBI - (",H182," x NBI + ",I182,")")</f>
        <v>NBI van 1560: 90% van (NBI - (0,3 x NBI + 1020)</v>
      </c>
      <c r="C182" s="1786" t="str">
        <f t="shared" ref="C182:D185" si="36">IF(AND(C$159&gt;=$E182,C$159&lt;$F182),$J182,"n.v.t")</f>
        <v>n.v.t</v>
      </c>
      <c r="D182" s="1786" t="str">
        <f t="shared" si="36"/>
        <v>n.v.t</v>
      </c>
      <c r="E182" s="1275">
        <f>F181</f>
        <v>1560</v>
      </c>
      <c r="F182" s="1787">
        <v>1610</v>
      </c>
      <c r="G182" s="1788">
        <v>0.9</v>
      </c>
      <c r="H182" s="1789">
        <v>0.3</v>
      </c>
      <c r="I182" s="1790">
        <v>1020</v>
      </c>
      <c r="J182" s="1787">
        <v>65</v>
      </c>
      <c r="M182" s="711" t="s">
        <v>303</v>
      </c>
      <c r="N182" s="6" t="s">
        <v>606</v>
      </c>
      <c r="O182" s="264" t="s">
        <v>0</v>
      </c>
      <c r="V182" s="1475"/>
      <c r="W182" s="1475"/>
      <c r="X182" s="1475"/>
      <c r="Y182" s="1475"/>
      <c r="AR182" s="1441"/>
    </row>
    <row r="183" spans="1:44" ht="15" thickBot="1" x14ac:dyDescent="0.35">
      <c r="A183" s="154">
        <v>3</v>
      </c>
      <c r="B183" s="346" t="str">
        <f>CONCATENATE("NBI van ",E183,": ",G183*100,"% van (NBI - (",H183," x NBI + ",I183,")")</f>
        <v>NBI van 1610: 80% van (NBI - (0,3 x NBI + 1020)</v>
      </c>
      <c r="C183" s="1786" t="str">
        <f t="shared" si="36"/>
        <v>n.v.t</v>
      </c>
      <c r="D183" s="1786" t="str">
        <f t="shared" si="36"/>
        <v>n.v.t</v>
      </c>
      <c r="E183" s="1275">
        <f>F182</f>
        <v>1610</v>
      </c>
      <c r="F183" s="1787">
        <v>1660</v>
      </c>
      <c r="G183" s="1788">
        <v>0.8</v>
      </c>
      <c r="H183" s="1789">
        <v>0.3</v>
      </c>
      <c r="I183" s="1790">
        <v>1020</v>
      </c>
      <c r="J183" s="1787">
        <v>86</v>
      </c>
      <c r="L183" s="54">
        <v>106</v>
      </c>
      <c r="M183" s="710">
        <v>2019</v>
      </c>
      <c r="N183" s="712">
        <v>250</v>
      </c>
      <c r="O183" s="713">
        <v>15000</v>
      </c>
      <c r="V183" s="1475"/>
      <c r="W183" s="1475"/>
      <c r="X183" s="1475"/>
      <c r="Y183" s="1475"/>
      <c r="AR183" s="1441"/>
    </row>
    <row r="184" spans="1:44" ht="15" thickBot="1" x14ac:dyDescent="0.35">
      <c r="A184" s="154">
        <v>4</v>
      </c>
      <c r="B184" s="346" t="str">
        <f>CONCATENATE("NBI van ",E184,": ",G184*100,"% van (NBI - (",H184," x NBI + ",I184,")")</f>
        <v>NBI van 1660: 70% van (NBI - (0,3 x NBI + 1020)</v>
      </c>
      <c r="C184" s="1786" t="str">
        <f t="shared" si="36"/>
        <v>n.v.t</v>
      </c>
      <c r="D184" s="1786" t="str">
        <f t="shared" si="36"/>
        <v>n.v.t</v>
      </c>
      <c r="E184" s="1275">
        <f>F183</f>
        <v>1660</v>
      </c>
      <c r="F184" s="1787">
        <v>1710</v>
      </c>
      <c r="G184" s="1788">
        <v>0.7</v>
      </c>
      <c r="H184" s="1789">
        <v>0.3</v>
      </c>
      <c r="I184" s="1790">
        <v>1020</v>
      </c>
      <c r="J184" s="1787">
        <v>99</v>
      </c>
      <c r="N184" s="2007" t="s">
        <v>304</v>
      </c>
      <c r="O184" s="2007" t="s">
        <v>305</v>
      </c>
      <c r="V184" s="1475"/>
      <c r="W184" s="1475"/>
      <c r="X184" s="1475"/>
      <c r="Y184" s="1475"/>
      <c r="AR184" s="1441"/>
    </row>
    <row r="185" spans="1:44" ht="15" thickBot="1" x14ac:dyDescent="0.35">
      <c r="A185" s="154">
        <v>5</v>
      </c>
      <c r="B185" s="346" t="str">
        <f>CONCATENATE("NBI van ",E185,": ",G185*100,"% van (NBI - (",H185," x NBI + ",I185,")")</f>
        <v>NBI van 1710: 70% van (NBI - (0,3 x NBI + 1045)</v>
      </c>
      <c r="C185" s="1786" t="str">
        <f t="shared" si="36"/>
        <v>n.v.t</v>
      </c>
      <c r="D185" s="1786" t="str">
        <f t="shared" si="36"/>
        <v>n.v.t</v>
      </c>
      <c r="E185" s="1275">
        <f>F184</f>
        <v>1710</v>
      </c>
      <c r="F185" s="1787">
        <v>1760</v>
      </c>
      <c r="G185" s="1788">
        <v>0.7</v>
      </c>
      <c r="H185" s="1789">
        <v>0.3</v>
      </c>
      <c r="I185" s="1790">
        <v>1045</v>
      </c>
      <c r="J185" s="1787">
        <v>106</v>
      </c>
      <c r="M185" s="1837" t="s">
        <v>303</v>
      </c>
      <c r="N185" s="2008"/>
      <c r="O185" s="2009"/>
      <c r="T185" s="1475"/>
      <c r="U185" s="1475"/>
      <c r="V185" s="1475"/>
      <c r="W185" s="1475"/>
      <c r="X185" s="1475"/>
      <c r="Y185" s="1475"/>
      <c r="AR185" s="1441"/>
    </row>
    <row r="186" spans="1:44" ht="15" thickBot="1" x14ac:dyDescent="0.35">
      <c r="A186" s="71">
        <v>7</v>
      </c>
      <c r="B186" s="381" t="str">
        <f>CONCATENATE("NBI van ",E186,": ",G186*100,"% van (NBI - (",H186," x NBI + ",I186,")")</f>
        <v>NBI van 1760: 70% van (NBI - (0,3 x NBI + 1070)</v>
      </c>
      <c r="C186" s="1791" t="str">
        <f>IF(C$159&gt;=$E186,C$159,"n.v.t")</f>
        <v>n.v.t</v>
      </c>
      <c r="D186" s="1791" t="str">
        <f>IF(D$159&gt;=$E186,D$159,"n.v.t")</f>
        <v>n.v.t</v>
      </c>
      <c r="E186" s="1276">
        <f>F185</f>
        <v>1760</v>
      </c>
      <c r="F186" s="1792"/>
      <c r="G186" s="1793">
        <v>0.7</v>
      </c>
      <c r="H186" s="1794">
        <v>0.3</v>
      </c>
      <c r="I186" s="1795">
        <v>1070</v>
      </c>
      <c r="J186" s="1792">
        <v>113</v>
      </c>
      <c r="M186" s="1838">
        <v>2019</v>
      </c>
      <c r="N186" s="1836">
        <v>30360</v>
      </c>
      <c r="O186" s="137">
        <v>60720</v>
      </c>
      <c r="T186" s="1475"/>
      <c r="U186" s="1475"/>
      <c r="V186" s="1475"/>
      <c r="W186" s="1475"/>
      <c r="X186" s="1475"/>
      <c r="Y186" s="1475"/>
      <c r="AR186" s="1441"/>
    </row>
    <row r="187" spans="1:44" ht="15" customHeight="1" thickBot="1" x14ac:dyDescent="0.35">
      <c r="A187" s="763">
        <v>122</v>
      </c>
      <c r="B187" s="755" t="s">
        <v>663</v>
      </c>
      <c r="C187" s="134">
        <f>IF(C$10="Nee","Zie Werk-tabel",SUM(C180:C186))</f>
        <v>0</v>
      </c>
      <c r="D187" s="134">
        <f>IF(D$10="Nee","Zie Werk-tabel",SUM(D180:D186))</f>
        <v>0</v>
      </c>
      <c r="E187" s="722"/>
      <c r="F187" s="722"/>
      <c r="G187" s="722"/>
      <c r="H187" s="722"/>
      <c r="I187" s="722"/>
      <c r="J187" s="722"/>
      <c r="T187" s="1475"/>
      <c r="U187" s="1475"/>
      <c r="V187" s="1475"/>
      <c r="W187" s="1475"/>
      <c r="X187" s="1475"/>
      <c r="Y187" s="1475"/>
      <c r="AR187" s="1441"/>
    </row>
    <row r="188" spans="1:44" ht="15" thickBot="1" x14ac:dyDescent="0.35">
      <c r="M188" s="80" t="s">
        <v>310</v>
      </c>
      <c r="O188" s="76" t="s">
        <v>299</v>
      </c>
      <c r="T188" s="1475"/>
      <c r="AR188" s="1441"/>
    </row>
    <row r="189" spans="1:44" ht="15" thickBot="1" x14ac:dyDescent="0.35">
      <c r="B189" s="238" t="s">
        <v>267</v>
      </c>
      <c r="C189" s="373"/>
      <c r="D189" s="373"/>
      <c r="E189" s="373"/>
      <c r="N189" s="118"/>
      <c r="O189" s="123">
        <v>1.2999999999999999E-3</v>
      </c>
      <c r="P189" s="124">
        <v>5.6000000000000001E-2</v>
      </c>
      <c r="T189" s="1475"/>
      <c r="AR189" s="1441"/>
    </row>
    <row r="190" spans="1:44" ht="15" thickBot="1" x14ac:dyDescent="0.35">
      <c r="A190" s="30" t="s">
        <v>415</v>
      </c>
      <c r="B190" s="239" t="s">
        <v>160</v>
      </c>
      <c r="C190" s="138" t="str">
        <f>$C$4</f>
        <v>AP</v>
      </c>
      <c r="D190" s="796" t="str">
        <f>$D$4</f>
        <v>AG</v>
      </c>
      <c r="E190" s="1947" t="s">
        <v>362</v>
      </c>
      <c r="F190" s="1948"/>
      <c r="G190" s="1948"/>
      <c r="H190" s="1948"/>
      <c r="I190" s="1948"/>
      <c r="J190" s="1949"/>
      <c r="L190" s="136" t="s">
        <v>300</v>
      </c>
      <c r="M190" s="127" t="s">
        <v>197</v>
      </c>
      <c r="N190" s="128" t="s">
        <v>106</v>
      </c>
      <c r="O190" s="6" t="s">
        <v>120</v>
      </c>
      <c r="P190" s="129" t="s">
        <v>120</v>
      </c>
      <c r="Q190" s="61" t="str">
        <f>$C$4</f>
        <v>AP</v>
      </c>
      <c r="R190" s="156" t="str">
        <f>$D$4</f>
        <v>AG</v>
      </c>
      <c r="T190" s="1475"/>
      <c r="AR190" s="1441"/>
    </row>
    <row r="191" spans="1:44" x14ac:dyDescent="0.3">
      <c r="A191" s="67" t="s">
        <v>521</v>
      </c>
      <c r="B191" s="104" t="s">
        <v>230</v>
      </c>
      <c r="C191" s="175">
        <v>0</v>
      </c>
      <c r="D191" s="814">
        <v>0</v>
      </c>
      <c r="E191" s="2134" t="s">
        <v>689</v>
      </c>
      <c r="F191" s="2115"/>
      <c r="G191" s="2115"/>
      <c r="H191" s="2115"/>
      <c r="I191" s="2115"/>
      <c r="J191" s="2116"/>
      <c r="L191" s="131">
        <v>1</v>
      </c>
      <c r="M191" s="125">
        <v>0</v>
      </c>
      <c r="N191" s="126">
        <v>71650</v>
      </c>
      <c r="O191" s="135">
        <v>0.67</v>
      </c>
      <c r="P191" s="1737">
        <v>0.33</v>
      </c>
      <c r="Q191" s="1738" t="str">
        <f>IF('Alimentatie 2019-2 (Juli)'!E$138&gt;N191,((O191*N191)*O$189)+((P191*N191)*P$189),IF(AND('Alimentatie 2019-2 (Juli)'!E$138&gt;M191,'Alimentatie 2019-2 (Juli)'!E$138&lt;=N191),((O191*'Alimentatie 2019-2 (Juli)'!E$138)*O$189)+((P191*'Alimentatie 2019-2 (Juli)'!E$138)*P$189),"--"))</f>
        <v>--</v>
      </c>
      <c r="R191" s="1739" t="str">
        <f>IF('Alimentatie 2019-2 (Juli)'!G$138&gt;N191,((O191*N191)*O$189)+((P191*N191)*P$189),IF(AND('Alimentatie 2019-2 (Juli)'!G$138&gt;M191,'Alimentatie 2019-2 (Juli)'!G$138&lt;=N191),((O191*'Alimentatie 2019-2 (Juli)'!G$138)*O$189)+((P191*'Alimentatie 2019-2 (Juli)'!G$138)*P$189),"--"))</f>
        <v>--</v>
      </c>
      <c r="T191" s="1475"/>
      <c r="AR191" s="1441"/>
    </row>
    <row r="192" spans="1:44" x14ac:dyDescent="0.3">
      <c r="A192" s="154" t="s">
        <v>522</v>
      </c>
      <c r="B192" s="105" t="s">
        <v>231</v>
      </c>
      <c r="C192" s="176">
        <v>0</v>
      </c>
      <c r="D192" s="805">
        <v>0</v>
      </c>
      <c r="E192" s="1946" t="s">
        <v>690</v>
      </c>
      <c r="F192" s="1926"/>
      <c r="G192" s="1926"/>
      <c r="H192" s="1926"/>
      <c r="I192" s="1926"/>
      <c r="J192" s="1927"/>
      <c r="L192" s="132">
        <v>2</v>
      </c>
      <c r="M192" s="1740">
        <f>N191</f>
        <v>71650</v>
      </c>
      <c r="N192" s="40">
        <v>989736</v>
      </c>
      <c r="O192" s="121">
        <v>0.21</v>
      </c>
      <c r="P192" s="1741">
        <v>0.79</v>
      </c>
      <c r="Q192" s="1742" t="str">
        <f>IF('Alimentatie 2019-2 (Juli)'!E$138&gt;N192,((O192*(N192-M192))*O$189)+((P192*(N192-M192))*P$189),IF(AND('Alimentatie 2019-2 (Juli)'!E$138&gt;M192,'Alimentatie 2019-2 (Juli)'!E$138&lt;=N192),((O192*('Alimentatie 2019-2 (Juli)'!E$138-M192))*O$189)+((P192*('Alimentatie 2019-2 (Juli)'!E$138-M192))*P$189),"--"))</f>
        <v>--</v>
      </c>
      <c r="R192" s="1743" t="str">
        <f>IF('Alimentatie 2019-2 (Juli)'!G$138&gt;N192,((O192*(N192-M192))*O$189)+((P192*(N192-M192))*P$189),IF(AND('Alimentatie 2019-2 (Juli)'!G$138&gt;M192,'Alimentatie 2019-2 (Juli)'!G$138&lt;=N192),((O192*('Alimentatie 2019-2 (Juli)'!G$138-M192))*O$189)+((P192*('Alimentatie 2019-2 (Juli)'!G$138-M192))*P$189),"--"))</f>
        <v>--</v>
      </c>
      <c r="T192" s="1475"/>
      <c r="AR192" s="1441"/>
    </row>
    <row r="193" spans="1:44" ht="15" thickBot="1" x14ac:dyDescent="0.35">
      <c r="A193" s="154" t="s">
        <v>523</v>
      </c>
      <c r="B193" s="236" t="str">
        <f>CONCATENATE("Wettelijk eigen risico in ",$C$16)</f>
        <v>Wettelijk eigen risico in 2019</v>
      </c>
      <c r="C193" s="1332">
        <v>385</v>
      </c>
      <c r="D193" s="1333">
        <v>385</v>
      </c>
      <c r="E193" s="2133" t="s">
        <v>241</v>
      </c>
      <c r="F193" s="1951"/>
      <c r="G193" s="1951"/>
      <c r="H193" s="1951"/>
      <c r="I193" s="1951"/>
      <c r="J193" s="1952"/>
      <c r="L193" s="133">
        <v>3</v>
      </c>
      <c r="M193" s="1744">
        <f>N192</f>
        <v>989736</v>
      </c>
      <c r="N193" s="41">
        <v>0</v>
      </c>
      <c r="O193" s="122">
        <v>0</v>
      </c>
      <c r="P193" s="1745">
        <v>1</v>
      </c>
      <c r="Q193" s="1746" t="str">
        <f>IF('Alimentatie 2019-2 (Juli)'!E$138&gt;M193,((O193*('Alimentatie 2019-2 (Juli)'!E$138-M193))*O$189)+((P193*('Alimentatie 2019-2 (Juli)'!E$138-M193))*P$189),"--")</f>
        <v>--</v>
      </c>
      <c r="R193" s="1747" t="str">
        <f>IF('Alimentatie 2019-2 (Juli)'!G$138&gt;M193,((O193*('Alimentatie 2019-2 (Juli)'!G$138-M193))*O$189)+((P193*('Alimentatie 2019-2 (Juli)'!G$138-M193))*P$189),"--")</f>
        <v>--</v>
      </c>
      <c r="T193" s="1475"/>
      <c r="AR193" s="1441"/>
    </row>
    <row r="194" spans="1:44" ht="15" thickBot="1" x14ac:dyDescent="0.35">
      <c r="A194" s="154">
        <v>124</v>
      </c>
      <c r="B194" s="106" t="str">
        <f>CONCATENATE("Is/wordt in ",$C$16," het eigenrisico volledig betaald?")</f>
        <v>Is/wordt in 2019 het eigenrisico volledig betaald?</v>
      </c>
      <c r="C194" s="216" t="s">
        <v>165</v>
      </c>
      <c r="D194" s="787" t="s">
        <v>165</v>
      </c>
      <c r="E194" s="1946" t="s">
        <v>691</v>
      </c>
      <c r="F194" s="1926"/>
      <c r="G194" s="1926"/>
      <c r="H194" s="1926"/>
      <c r="I194" s="1926"/>
      <c r="J194" s="1927"/>
      <c r="O194" s="1923" t="s">
        <v>320</v>
      </c>
      <c r="P194" s="1965"/>
      <c r="Q194" s="134">
        <f>SUM(Q191:Q193)</f>
        <v>0</v>
      </c>
      <c r="R194" s="134">
        <f>SUM(R191:R193)</f>
        <v>0</v>
      </c>
      <c r="T194" s="1475"/>
      <c r="AR194" s="1441"/>
    </row>
    <row r="195" spans="1:44" x14ac:dyDescent="0.3">
      <c r="A195" s="154">
        <v>124</v>
      </c>
      <c r="B195" s="346" t="s">
        <v>479</v>
      </c>
      <c r="C195" s="1332">
        <v>35</v>
      </c>
      <c r="D195" s="1333">
        <v>35</v>
      </c>
      <c r="E195" s="2135" t="s">
        <v>692</v>
      </c>
      <c r="F195" s="2118"/>
      <c r="G195" s="2118"/>
      <c r="H195" s="2118"/>
      <c r="I195" s="2118"/>
      <c r="J195" s="2120"/>
      <c r="T195" s="1475"/>
      <c r="AR195" s="1441"/>
    </row>
    <row r="196" spans="1:44" ht="15" thickBot="1" x14ac:dyDescent="0.35">
      <c r="A196" s="71"/>
      <c r="B196" s="237" t="str">
        <f>CONCATENATE("Te ontvangen zorgtoeslag in ",$C$16)</f>
        <v>Te ontvangen zorgtoeslag in 2019</v>
      </c>
      <c r="C196" s="177">
        <v>0</v>
      </c>
      <c r="D196" s="806">
        <v>0</v>
      </c>
      <c r="E196" s="1194" t="s">
        <v>739</v>
      </c>
      <c r="F196" s="2061" t="s">
        <v>711</v>
      </c>
      <c r="G196" s="2062"/>
      <c r="H196" s="2062"/>
      <c r="I196" s="2062"/>
      <c r="J196" s="2063"/>
      <c r="U196" s="1475"/>
      <c r="AR196" s="1441"/>
    </row>
    <row r="197" spans="1:44" x14ac:dyDescent="0.3">
      <c r="U197" s="1475"/>
      <c r="AR197" s="1441"/>
    </row>
    <row r="198" spans="1:44" ht="15" thickBot="1" x14ac:dyDescent="0.35">
      <c r="AR198" s="1441"/>
    </row>
    <row r="199" spans="1:44" ht="15" thickBot="1" x14ac:dyDescent="0.35">
      <c r="B199" s="240" t="s">
        <v>734</v>
      </c>
      <c r="C199" s="2024" t="s">
        <v>468</v>
      </c>
      <c r="D199" s="2025"/>
      <c r="F199" s="1972" t="s">
        <v>469</v>
      </c>
      <c r="G199" s="290"/>
      <c r="I199" s="1993" t="s">
        <v>457</v>
      </c>
      <c r="J199" s="1994"/>
      <c r="AR199" s="1441"/>
    </row>
    <row r="200" spans="1:44" ht="15" thickBot="1" x14ac:dyDescent="0.35">
      <c r="A200" s="30" t="s">
        <v>480</v>
      </c>
      <c r="B200" s="288" t="s">
        <v>944</v>
      </c>
      <c r="C200" s="66" t="str">
        <f>$C$4</f>
        <v>AP</v>
      </c>
      <c r="D200" s="61" t="str">
        <f>$D$4</f>
        <v>AG</v>
      </c>
      <c r="E200" s="730" t="s">
        <v>458</v>
      </c>
      <c r="F200" s="2110"/>
      <c r="G200" s="266" t="s">
        <v>452</v>
      </c>
      <c r="H200" s="156" t="s">
        <v>455</v>
      </c>
      <c r="I200" s="66" t="str">
        <f>$C$4</f>
        <v>AP</v>
      </c>
      <c r="J200" s="61" t="str">
        <f>$D$4</f>
        <v>AG</v>
      </c>
      <c r="AR200" s="1441"/>
    </row>
    <row r="201" spans="1:44" x14ac:dyDescent="0.3">
      <c r="A201" s="155">
        <v>1</v>
      </c>
      <c r="B201" s="549"/>
      <c r="C201" s="550"/>
      <c r="D201" s="550"/>
      <c r="E201" s="548"/>
      <c r="F201" s="1192">
        <v>0</v>
      </c>
      <c r="G201" s="1190">
        <v>0.15</v>
      </c>
      <c r="H201" s="1771" t="str">
        <f>IF(OR(TRIM(B201)="",TRIM(E201)=""),"--",YEAR($C$15-(E201-2))-1900)</f>
        <v>--</v>
      </c>
      <c r="I201" s="1772" t="str">
        <f t="shared" ref="I201:I212" si="37">IF(C201=0,"--",IF(AND(($C201+$D201)&gt;0,AND($H201&gt;=0,$H201&lt;=5)),"0 t/m 5",IF(AND(($C201+$D201)&gt;0,AND($H201&gt;=6,$H201&lt;=11)),"6 t/m 11",IF(AND(($C201+$D201)&gt;0,AND($H201&gt;=12,$H201&lt;=17)),"12 t/m 17",IF(AND($H201&gt;=18,$H201&lt;=21),"18 t/m 21",IF($H201&gt;21,"22 of ouder","--"))))))</f>
        <v>--</v>
      </c>
      <c r="J201" s="1773" t="str">
        <f t="shared" ref="J201:J212" si="38">IF(D201=0,"--",IF(AND(($C201+$D201)&gt;0,AND($H201&gt;=0,$H201&lt;=5)),"0 t/m 5",IF(AND(($C201+$D201)&gt;0,AND($H201&gt;=6,$H201&lt;=11)),"6 t/m 11",IF(AND(($C201+$D201)&gt;0,AND($H201&gt;=12,$H201&lt;=17)),"12 t/m 17",IF(AND($H201&gt;=18,$H201&lt;=21),"18 t/m 21",IF($H201&gt;21,"22 of ouder","--"))))))</f>
        <v>--</v>
      </c>
      <c r="AR201" s="1441"/>
    </row>
    <row r="202" spans="1:44" x14ac:dyDescent="0.3">
      <c r="A202" s="154">
        <v>2</v>
      </c>
      <c r="B202" s="549"/>
      <c r="C202" s="550"/>
      <c r="D202" s="550"/>
      <c r="E202" s="215"/>
      <c r="F202" s="1192">
        <v>0</v>
      </c>
      <c r="G202" s="729">
        <v>0.15</v>
      </c>
      <c r="H202" s="1774" t="str">
        <f t="shared" ref="H202:H212" si="39">IF(OR(TRIM(B202)="",TRIM(E202)=""),"--",YEAR($C$15-(E202-2))-1900)</f>
        <v>--</v>
      </c>
      <c r="I202" s="1775" t="str">
        <f t="shared" si="37"/>
        <v>--</v>
      </c>
      <c r="J202" s="1776" t="str">
        <f t="shared" si="38"/>
        <v>--</v>
      </c>
      <c r="AR202" s="1441"/>
    </row>
    <row r="203" spans="1:44" x14ac:dyDescent="0.3">
      <c r="A203" s="154">
        <v>3</v>
      </c>
      <c r="B203" s="549"/>
      <c r="C203" s="550"/>
      <c r="D203" s="550"/>
      <c r="E203" s="215"/>
      <c r="F203" s="1192">
        <v>0</v>
      </c>
      <c r="G203" s="729">
        <v>0.15</v>
      </c>
      <c r="H203" s="1774" t="str">
        <f t="shared" si="39"/>
        <v>--</v>
      </c>
      <c r="I203" s="1775" t="str">
        <f t="shared" si="37"/>
        <v>--</v>
      </c>
      <c r="J203" s="1776" t="str">
        <f t="shared" si="38"/>
        <v>--</v>
      </c>
      <c r="AR203" s="1441"/>
    </row>
    <row r="204" spans="1:44" x14ac:dyDescent="0.3">
      <c r="A204" s="154">
        <v>4</v>
      </c>
      <c r="B204" s="546"/>
      <c r="C204" s="547"/>
      <c r="D204" s="547"/>
      <c r="E204" s="215"/>
      <c r="F204" s="1192">
        <v>0</v>
      </c>
      <c r="G204" s="729">
        <v>0.15</v>
      </c>
      <c r="H204" s="1774" t="str">
        <f t="shared" si="39"/>
        <v>--</v>
      </c>
      <c r="I204" s="1775" t="str">
        <f t="shared" si="37"/>
        <v>--</v>
      </c>
      <c r="J204" s="1776" t="str">
        <f t="shared" si="38"/>
        <v>--</v>
      </c>
      <c r="AR204" s="1441"/>
    </row>
    <row r="205" spans="1:44" x14ac:dyDescent="0.3">
      <c r="A205" s="154">
        <v>5</v>
      </c>
      <c r="B205" s="549"/>
      <c r="C205" s="550"/>
      <c r="D205" s="550"/>
      <c r="E205" s="215"/>
      <c r="F205" s="1192">
        <v>0</v>
      </c>
      <c r="G205" s="729">
        <v>0.15</v>
      </c>
      <c r="H205" s="1774" t="str">
        <f t="shared" si="39"/>
        <v>--</v>
      </c>
      <c r="I205" s="1775" t="str">
        <f t="shared" si="37"/>
        <v>--</v>
      </c>
      <c r="J205" s="1776" t="str">
        <f t="shared" si="38"/>
        <v>--</v>
      </c>
      <c r="AR205" s="1441"/>
    </row>
    <row r="206" spans="1:44" x14ac:dyDescent="0.3">
      <c r="A206" s="154">
        <v>6</v>
      </c>
      <c r="B206" s="549"/>
      <c r="C206" s="550"/>
      <c r="D206" s="550"/>
      <c r="E206" s="215"/>
      <c r="F206" s="1192">
        <v>0</v>
      </c>
      <c r="G206" s="729">
        <v>0.15</v>
      </c>
      <c r="H206" s="1774" t="str">
        <f t="shared" si="39"/>
        <v>--</v>
      </c>
      <c r="I206" s="1775" t="str">
        <f t="shared" si="37"/>
        <v>--</v>
      </c>
      <c r="J206" s="1776" t="str">
        <f t="shared" si="38"/>
        <v>--</v>
      </c>
      <c r="U206" s="1475"/>
      <c r="AR206" s="1441"/>
    </row>
    <row r="207" spans="1:44" x14ac:dyDescent="0.3">
      <c r="A207" s="154">
        <v>7</v>
      </c>
      <c r="B207" s="549"/>
      <c r="C207" s="550"/>
      <c r="D207" s="550"/>
      <c r="E207" s="215"/>
      <c r="F207" s="1192">
        <v>0</v>
      </c>
      <c r="G207" s="729">
        <v>0.15</v>
      </c>
      <c r="H207" s="1774" t="str">
        <f t="shared" si="39"/>
        <v>--</v>
      </c>
      <c r="I207" s="1775" t="str">
        <f t="shared" si="37"/>
        <v>--</v>
      </c>
      <c r="J207" s="1776" t="str">
        <f t="shared" si="38"/>
        <v>--</v>
      </c>
      <c r="U207" s="1475"/>
      <c r="AR207" s="1441"/>
    </row>
    <row r="208" spans="1:44" x14ac:dyDescent="0.3">
      <c r="A208" s="154">
        <v>8</v>
      </c>
      <c r="B208" s="549"/>
      <c r="C208" s="550"/>
      <c r="D208" s="550"/>
      <c r="E208" s="215"/>
      <c r="F208" s="1192">
        <v>0</v>
      </c>
      <c r="G208" s="729">
        <v>0.15</v>
      </c>
      <c r="H208" s="1774" t="str">
        <f t="shared" si="39"/>
        <v>--</v>
      </c>
      <c r="I208" s="1775" t="str">
        <f t="shared" si="37"/>
        <v>--</v>
      </c>
      <c r="J208" s="1776" t="str">
        <f t="shared" si="38"/>
        <v>--</v>
      </c>
      <c r="U208" s="1475"/>
      <c r="AR208" s="1441"/>
    </row>
    <row r="209" spans="1:44" x14ac:dyDescent="0.3">
      <c r="A209" s="154">
        <v>9</v>
      </c>
      <c r="B209" s="549"/>
      <c r="C209" s="550"/>
      <c r="D209" s="550"/>
      <c r="E209" s="215"/>
      <c r="F209" s="1192">
        <v>0</v>
      </c>
      <c r="G209" s="729">
        <v>0.15</v>
      </c>
      <c r="H209" s="1774" t="str">
        <f t="shared" si="39"/>
        <v>--</v>
      </c>
      <c r="I209" s="1775" t="str">
        <f t="shared" si="37"/>
        <v>--</v>
      </c>
      <c r="J209" s="1776" t="str">
        <f t="shared" si="38"/>
        <v>--</v>
      </c>
      <c r="U209" s="1475"/>
      <c r="AR209" s="1441"/>
    </row>
    <row r="210" spans="1:44" x14ac:dyDescent="0.3">
      <c r="A210" s="154">
        <v>10</v>
      </c>
      <c r="B210" s="549"/>
      <c r="C210" s="550"/>
      <c r="D210" s="550"/>
      <c r="E210" s="215"/>
      <c r="F210" s="1192">
        <v>0</v>
      </c>
      <c r="G210" s="729">
        <v>0.15</v>
      </c>
      <c r="H210" s="1774" t="str">
        <f t="shared" si="39"/>
        <v>--</v>
      </c>
      <c r="I210" s="1775" t="str">
        <f t="shared" si="37"/>
        <v>--</v>
      </c>
      <c r="J210" s="1776" t="str">
        <f t="shared" si="38"/>
        <v>--</v>
      </c>
      <c r="AR210" s="1441"/>
    </row>
    <row r="211" spans="1:44" x14ac:dyDescent="0.3">
      <c r="A211" s="154">
        <v>11</v>
      </c>
      <c r="B211" s="549"/>
      <c r="C211" s="550"/>
      <c r="D211" s="550"/>
      <c r="E211" s="215"/>
      <c r="F211" s="1192">
        <v>0</v>
      </c>
      <c r="G211" s="729">
        <v>0.15</v>
      </c>
      <c r="H211" s="1774" t="str">
        <f t="shared" si="39"/>
        <v>--</v>
      </c>
      <c r="I211" s="1775" t="str">
        <f t="shared" si="37"/>
        <v>--</v>
      </c>
      <c r="J211" s="1776" t="str">
        <f t="shared" si="38"/>
        <v>--</v>
      </c>
      <c r="AR211" s="1441"/>
    </row>
    <row r="212" spans="1:44" ht="15" thickBot="1" x14ac:dyDescent="0.35">
      <c r="A212" s="71">
        <v>12</v>
      </c>
      <c r="B212" s="551"/>
      <c r="C212" s="552"/>
      <c r="D212" s="552"/>
      <c r="E212" s="553"/>
      <c r="F212" s="1193">
        <v>0</v>
      </c>
      <c r="G212" s="1191">
        <v>0.15</v>
      </c>
      <c r="H212" s="1777" t="str">
        <f t="shared" si="39"/>
        <v>--</v>
      </c>
      <c r="I212" s="1778" t="str">
        <f t="shared" si="37"/>
        <v>--</v>
      </c>
      <c r="J212" s="1779" t="str">
        <f t="shared" si="38"/>
        <v>--</v>
      </c>
      <c r="AR212" s="1441"/>
    </row>
    <row r="213" spans="1:44" ht="15" thickBot="1" x14ac:dyDescent="0.35">
      <c r="B213" s="289" t="s">
        <v>199</v>
      </c>
      <c r="C213" s="286">
        <f>SUM(C201:C212)</f>
        <v>0</v>
      </c>
      <c r="D213" s="285">
        <f>SUM(D201:D212)</f>
        <v>0</v>
      </c>
      <c r="E213" s="60"/>
      <c r="F213" s="265"/>
      <c r="AR213" s="1441"/>
    </row>
    <row r="214" spans="1:44" ht="15" thickBot="1" x14ac:dyDescent="0.35">
      <c r="AR214" s="1441"/>
    </row>
    <row r="215" spans="1:44" ht="15" thickBot="1" x14ac:dyDescent="0.35">
      <c r="F215" s="1972" t="s">
        <v>545</v>
      </c>
      <c r="AR215" s="1441"/>
    </row>
    <row r="216" spans="1:44" ht="15" thickBot="1" x14ac:dyDescent="0.35">
      <c r="B216" s="240" t="s">
        <v>237</v>
      </c>
      <c r="C216" s="2024" t="s">
        <v>468</v>
      </c>
      <c r="D216" s="2037"/>
      <c r="E216" s="180"/>
      <c r="F216" s="2108"/>
      <c r="AR216" s="1441"/>
    </row>
    <row r="217" spans="1:44" ht="15" thickBot="1" x14ac:dyDescent="0.35">
      <c r="A217" s="347" t="s">
        <v>415</v>
      </c>
      <c r="B217" s="267" t="s">
        <v>135</v>
      </c>
      <c r="C217" s="61" t="str">
        <f>$C$4</f>
        <v>AP</v>
      </c>
      <c r="D217" s="61" t="str">
        <f>$D$4</f>
        <v>AG</v>
      </c>
      <c r="E217" s="324" t="s">
        <v>84</v>
      </c>
      <c r="F217" s="2109"/>
      <c r="V217" s="770"/>
      <c r="W217" s="1441"/>
      <c r="X217" s="770"/>
      <c r="Y217" s="1357"/>
      <c r="Z217" s="1357"/>
      <c r="AR217" s="1441"/>
    </row>
    <row r="218" spans="1:44" x14ac:dyDescent="0.3">
      <c r="A218" s="67"/>
      <c r="B218" s="1768" t="s">
        <v>136</v>
      </c>
      <c r="C218" s="1253">
        <f>COUNTIFS(I$201:I$212,B218)</f>
        <v>0</v>
      </c>
      <c r="D218" s="1253">
        <f>COUNTIFS(J$201:J$212,B218)</f>
        <v>0</v>
      </c>
      <c r="E218" s="50">
        <f>SUM(C218:D218)</f>
        <v>0</v>
      </c>
      <c r="F218" s="535">
        <f>IF(E$221&gt;4,IF(AND(E218&gt;0,E218&lt;=4,4-(F$219+F$220)&gt;=E218),E218,4-(F$219+F$220)),E218)</f>
        <v>0</v>
      </c>
      <c r="V218" s="1441"/>
      <c r="W218" s="1441"/>
      <c r="X218" s="2"/>
      <c r="Y218" s="1357"/>
      <c r="Z218" s="1357"/>
      <c r="AR218" s="1441"/>
    </row>
    <row r="219" spans="1:44" x14ac:dyDescent="0.3">
      <c r="A219" s="154"/>
      <c r="B219" s="1769" t="s">
        <v>137</v>
      </c>
      <c r="C219" s="1255">
        <f>COUNTIFS(I$201:I$212,B219)</f>
        <v>0</v>
      </c>
      <c r="D219" s="1255">
        <f>COUNTIFS(J$201:J$212,B219)</f>
        <v>0</v>
      </c>
      <c r="E219" s="51">
        <f>SUM(C219:D219)</f>
        <v>0</v>
      </c>
      <c r="F219" s="536">
        <f>IF(E$221&gt;4,IF(AND(E219&gt;0,E219&lt;=4,4-F$220&gt;=E219),E219,4-F$220),E219)</f>
        <v>0</v>
      </c>
      <c r="V219" s="1441"/>
      <c r="W219" s="1441"/>
      <c r="X219" s="2"/>
      <c r="Y219" s="1357"/>
      <c r="Z219" s="1357"/>
      <c r="AR219" s="1441"/>
    </row>
    <row r="220" spans="1:44" ht="15" thickBot="1" x14ac:dyDescent="0.35">
      <c r="A220" s="154"/>
      <c r="B220" s="1770" t="s">
        <v>138</v>
      </c>
      <c r="C220" s="1257">
        <f>COUNTIFS(I$201:I$212,B220)</f>
        <v>0</v>
      </c>
      <c r="D220" s="1257">
        <f>COUNTIFS(J$201:J$212,B220)</f>
        <v>0</v>
      </c>
      <c r="E220" s="52">
        <f>SUM(C220:D220)</f>
        <v>0</v>
      </c>
      <c r="F220" s="537">
        <f>IF(E$221&gt;4,IF(AND(E220&gt;0,E220&lt;=4),E220,0),E220)</f>
        <v>0</v>
      </c>
      <c r="V220" s="1441"/>
      <c r="W220" s="1441"/>
      <c r="X220" s="2"/>
      <c r="Y220" s="1357"/>
      <c r="Z220" s="1357"/>
      <c r="AR220" s="1441"/>
    </row>
    <row r="221" spans="1:44" ht="15" thickBot="1" x14ac:dyDescent="0.35">
      <c r="A221" s="154"/>
      <c r="B221" s="287" t="s">
        <v>140</v>
      </c>
      <c r="C221" s="283">
        <f>SUM(C218:C220)</f>
        <v>0</v>
      </c>
      <c r="D221" s="283">
        <f>SUM(D218:D220)</f>
        <v>0</v>
      </c>
      <c r="E221" s="283">
        <f>SUM(E218:E220)</f>
        <v>0</v>
      </c>
      <c r="F221" s="534">
        <f>SUM(F218:F220)</f>
        <v>0</v>
      </c>
      <c r="V221" s="1441"/>
      <c r="W221" s="1441"/>
      <c r="X221" s="2"/>
      <c r="Y221" s="1357"/>
      <c r="Z221" s="1357"/>
      <c r="AR221" s="1441"/>
    </row>
    <row r="222" spans="1:44" ht="15" thickBot="1" x14ac:dyDescent="0.35">
      <c r="A222" s="154"/>
      <c r="B222" s="241" t="s">
        <v>459</v>
      </c>
      <c r="C222" s="538">
        <f>COUNTIFS(I$201:I$212,B222)</f>
        <v>0</v>
      </c>
      <c r="D222" s="538">
        <f>COUNTIFS(J$201:J$212,B222)</f>
        <v>0</v>
      </c>
      <c r="E222" s="333">
        <f>SUM(C222:D222)</f>
        <v>0</v>
      </c>
      <c r="F222" s="2152" t="s">
        <v>550</v>
      </c>
      <c r="G222" s="2153"/>
      <c r="H222" s="2153"/>
      <c r="I222" s="2154"/>
      <c r="V222" s="1441"/>
      <c r="W222" s="1441"/>
      <c r="X222" s="2"/>
      <c r="Y222" s="1357"/>
      <c r="Z222" s="1441"/>
      <c r="AR222" s="1441"/>
    </row>
    <row r="223" spans="1:44" ht="15" thickBot="1" x14ac:dyDescent="0.35">
      <c r="A223" s="154"/>
      <c r="B223" s="242" t="s">
        <v>460</v>
      </c>
      <c r="C223" s="539">
        <f>COUNTIFS(I$201:I$212,B223)</f>
        <v>0</v>
      </c>
      <c r="D223" s="539">
        <f>COUNTIFS(J$201:J$212,B223)</f>
        <v>0</v>
      </c>
      <c r="E223" s="334">
        <f>SUM(C223:D223)</f>
        <v>0</v>
      </c>
      <c r="V223" s="1441"/>
      <c r="W223" s="1441"/>
      <c r="X223" s="2"/>
      <c r="Y223" s="1357"/>
      <c r="Z223" s="1441"/>
      <c r="AR223" s="1441"/>
    </row>
    <row r="224" spans="1:44" ht="15" thickBot="1" x14ac:dyDescent="0.35">
      <c r="A224" s="154"/>
      <c r="B224" s="335" t="s">
        <v>741</v>
      </c>
      <c r="C224" s="331">
        <f>SUM(C221:C223)</f>
        <v>0</v>
      </c>
      <c r="D224" s="331">
        <f>SUM(D221:D223)</f>
        <v>0</v>
      </c>
      <c r="E224" s="332">
        <f>SUM(E221:E223)</f>
        <v>0</v>
      </c>
      <c r="F224" s="270"/>
      <c r="G224" s="270"/>
      <c r="H224" s="270"/>
      <c r="I224" s="270"/>
      <c r="J224" s="270"/>
      <c r="V224" s="1441"/>
      <c r="W224" s="1441"/>
      <c r="X224" s="2"/>
      <c r="Y224" s="1357"/>
      <c r="Z224" s="1441"/>
      <c r="AR224" s="1441"/>
    </row>
    <row r="225" spans="1:44" ht="15" thickBot="1" x14ac:dyDescent="0.35">
      <c r="A225" s="154"/>
      <c r="B225" s="336" t="s">
        <v>470</v>
      </c>
      <c r="C225" s="329"/>
      <c r="D225" s="329"/>
      <c r="E225" s="329"/>
      <c r="F225" s="270"/>
      <c r="G225" s="270"/>
      <c r="H225" s="270"/>
      <c r="I225" s="270"/>
      <c r="J225" s="270"/>
      <c r="V225" s="1441"/>
      <c r="W225" s="1441"/>
      <c r="X225" s="2"/>
      <c r="Y225" s="1357"/>
      <c r="Z225" s="1441"/>
      <c r="AR225" s="1441"/>
    </row>
    <row r="226" spans="1:44" x14ac:dyDescent="0.3">
      <c r="A226" s="154"/>
      <c r="B226" s="330" t="str">
        <f>CONCATENATE("Het in ",C19," ontvangen KGB per maand")</f>
        <v>Het in 2019 ontvangen KGB per maand</v>
      </c>
      <c r="C226" s="213">
        <v>0</v>
      </c>
      <c r="D226" s="175">
        <v>0</v>
      </c>
      <c r="E226" s="322">
        <f>SUM(C226:D226)</f>
        <v>0</v>
      </c>
      <c r="F226" s="2146" t="s">
        <v>238</v>
      </c>
      <c r="G226" s="2147"/>
      <c r="H226" s="2147"/>
      <c r="I226" s="2148"/>
      <c r="J226" s="77"/>
      <c r="V226" s="1441"/>
      <c r="W226" s="1441"/>
      <c r="X226" s="2"/>
      <c r="Y226" s="1357"/>
      <c r="Z226" s="1441"/>
      <c r="AR226" s="1441"/>
    </row>
    <row r="227" spans="1:44" ht="15" thickBot="1" x14ac:dyDescent="0.35">
      <c r="A227" s="154"/>
      <c r="B227" s="326" t="str">
        <f>CONCATENATE("Oppaskosten kinderen in ",C19," per maand")</f>
        <v>Oppaskosten kinderen in 2019 per maand</v>
      </c>
      <c r="C227" s="227">
        <v>0</v>
      </c>
      <c r="D227" s="177">
        <v>0</v>
      </c>
      <c r="E227" s="545">
        <f>SUM(C227:D227)</f>
        <v>0</v>
      </c>
      <c r="F227" s="2149"/>
      <c r="G227" s="2150"/>
      <c r="H227" s="2150"/>
      <c r="I227" s="2151"/>
      <c r="V227" s="1441"/>
      <c r="W227" s="1441"/>
      <c r="X227" s="2"/>
      <c r="Y227" s="1357"/>
      <c r="Z227" s="1441"/>
      <c r="AR227" s="1441"/>
    </row>
    <row r="228" spans="1:44" ht="15" thickBot="1" x14ac:dyDescent="0.35">
      <c r="A228" s="154"/>
      <c r="B228" s="336" t="s">
        <v>466</v>
      </c>
      <c r="C228" s="270"/>
      <c r="D228" s="270"/>
      <c r="E228" s="270"/>
      <c r="F228" s="270"/>
      <c r="G228" s="270"/>
      <c r="H228" s="270"/>
      <c r="I228" s="270"/>
      <c r="J228" s="270"/>
      <c r="V228" s="1441"/>
      <c r="W228" s="1441"/>
      <c r="X228" s="2"/>
      <c r="Y228" s="1357"/>
      <c r="Z228" s="1441"/>
      <c r="AR228" s="1441"/>
    </row>
    <row r="229" spans="1:44" ht="15" thickBot="1" x14ac:dyDescent="0.35">
      <c r="A229" s="71" t="s">
        <v>53</v>
      </c>
      <c r="B229" s="1322" t="str">
        <f>CONCATENATE("Na scheiding in ",C16," te ontvangen KGB per maand")</f>
        <v>Na scheiding in 2019 te ontvangen KGB per maand</v>
      </c>
      <c r="C229" s="1323">
        <v>0</v>
      </c>
      <c r="D229" s="1323">
        <v>0</v>
      </c>
      <c r="E229" s="1324">
        <f>SUM(C229:D229)</f>
        <v>0</v>
      </c>
      <c r="F229" s="274" t="s">
        <v>710</v>
      </c>
      <c r="G229" s="58" t="s">
        <v>711</v>
      </c>
      <c r="H229" s="270"/>
      <c r="I229" s="270"/>
      <c r="J229" s="270"/>
      <c r="V229" s="1441"/>
      <c r="W229" s="1441"/>
      <c r="X229" s="2"/>
      <c r="Y229" s="1357"/>
      <c r="Z229" s="1441"/>
      <c r="AR229" s="1441"/>
    </row>
    <row r="230" spans="1:44" ht="15" thickBot="1" x14ac:dyDescent="0.35">
      <c r="B230" s="1325" t="s">
        <v>763</v>
      </c>
      <c r="C230" s="1326" t="s">
        <v>164</v>
      </c>
      <c r="D230" s="2085" t="s">
        <v>764</v>
      </c>
      <c r="E230" s="1992"/>
      <c r="F230" s="1992"/>
      <c r="G230" s="1992"/>
      <c r="H230" s="1992"/>
      <c r="I230" s="1992"/>
      <c r="J230" s="2086"/>
      <c r="V230" s="1441"/>
      <c r="W230" s="1441"/>
      <c r="X230" s="2"/>
      <c r="Y230" s="1357"/>
      <c r="Z230" s="1441"/>
      <c r="AR230" s="1441"/>
    </row>
    <row r="231" spans="1:44" s="1178" customFormat="1" x14ac:dyDescent="0.3">
      <c r="A231" s="54"/>
      <c r="B231" s="116"/>
      <c r="C231" s="60"/>
      <c r="D231" s="60"/>
      <c r="E231" s="2"/>
      <c r="F231" s="2"/>
      <c r="G231" s="2"/>
      <c r="H231" s="2"/>
      <c r="I231" s="2"/>
      <c r="J231" s="265"/>
      <c r="K231" s="373"/>
      <c r="M231" s="54"/>
      <c r="N231" s="54"/>
      <c r="O231" s="54"/>
      <c r="P231" s="54"/>
      <c r="Q231" s="54"/>
      <c r="R231" s="54"/>
      <c r="W231" s="1441"/>
      <c r="Y231" s="1357"/>
      <c r="AR231" s="1441"/>
    </row>
    <row r="232" spans="1:44" ht="16.2" thickBot="1" x14ac:dyDescent="0.35">
      <c r="B232" s="1232" t="s">
        <v>929</v>
      </c>
      <c r="C232" s="58" t="s">
        <v>194</v>
      </c>
      <c r="D232" s="2"/>
      <c r="V232" s="2"/>
      <c r="W232" s="1441"/>
      <c r="X232" s="2"/>
      <c r="Y232" s="1357"/>
      <c r="Z232" s="1441"/>
      <c r="AR232" s="1441"/>
    </row>
    <row r="233" spans="1:44" ht="15" thickBot="1" x14ac:dyDescent="0.35">
      <c r="B233" s="2042" t="s">
        <v>193</v>
      </c>
      <c r="C233" s="2043"/>
      <c r="D233" s="2043"/>
      <c r="E233" s="2044"/>
      <c r="F233" s="6" t="s">
        <v>82</v>
      </c>
      <c r="G233" s="6" t="s">
        <v>195</v>
      </c>
      <c r="H233" s="11" t="s">
        <v>278</v>
      </c>
      <c r="X233" s="1441"/>
      <c r="Z233" s="1357"/>
      <c r="AR233" s="1441"/>
    </row>
    <row r="234" spans="1:44" ht="15" thickBot="1" x14ac:dyDescent="0.35">
      <c r="B234" s="2048" t="s">
        <v>176</v>
      </c>
      <c r="C234" s="2049"/>
      <c r="D234" s="2049"/>
      <c r="E234" s="2050"/>
      <c r="F234" s="2050"/>
      <c r="G234" s="2050"/>
      <c r="H234" s="1997"/>
      <c r="X234" s="1441"/>
      <c r="Z234" s="1357"/>
      <c r="AR234" s="1441"/>
    </row>
    <row r="235" spans="1:44" x14ac:dyDescent="0.3">
      <c r="B235" s="2167" t="s">
        <v>177</v>
      </c>
      <c r="C235" s="2168"/>
      <c r="D235" s="2168"/>
      <c r="E235" s="2169"/>
      <c r="F235" s="2170"/>
      <c r="G235" s="2170"/>
      <c r="H235" s="2171"/>
      <c r="X235" s="1441"/>
      <c r="Z235" s="1357"/>
      <c r="AR235" s="1441"/>
    </row>
    <row r="236" spans="1:44" x14ac:dyDescent="0.3">
      <c r="B236" s="2045" t="s">
        <v>178</v>
      </c>
      <c r="C236" s="2046"/>
      <c r="D236" s="2046"/>
      <c r="E236" s="2047"/>
      <c r="F236" s="35">
        <v>241.67</v>
      </c>
      <c r="G236" s="35">
        <v>12.72</v>
      </c>
      <c r="H236" s="1764">
        <f>SUM(F236:G236)</f>
        <v>254.39</v>
      </c>
      <c r="X236" s="1441"/>
      <c r="Z236" s="1357"/>
      <c r="AR236" s="1441"/>
    </row>
    <row r="237" spans="1:44" x14ac:dyDescent="0.3">
      <c r="B237" s="2051" t="s">
        <v>179</v>
      </c>
      <c r="C237" s="2052"/>
      <c r="D237" s="2052"/>
      <c r="E237" s="2047"/>
      <c r="F237" s="35">
        <v>483.34</v>
      </c>
      <c r="G237" s="35">
        <v>25.44</v>
      </c>
      <c r="H237" s="1764">
        <f>SUM(F237:G237)</f>
        <v>508.78</v>
      </c>
      <c r="X237" s="1441"/>
      <c r="Z237" s="1357"/>
      <c r="AR237" s="1441"/>
    </row>
    <row r="238" spans="1:44" x14ac:dyDescent="0.3">
      <c r="B238" s="2045" t="s">
        <v>180</v>
      </c>
      <c r="C238" s="2046"/>
      <c r="D238" s="2046"/>
      <c r="E238" s="2047"/>
      <c r="F238" s="35">
        <v>940.89</v>
      </c>
      <c r="G238" s="35">
        <v>49.52</v>
      </c>
      <c r="H238" s="1764">
        <f>SUM(F238:G238)</f>
        <v>990.41</v>
      </c>
      <c r="X238" s="1441"/>
      <c r="Z238" s="1357"/>
      <c r="AR238" s="1441"/>
    </row>
    <row r="239" spans="1:44" x14ac:dyDescent="0.3">
      <c r="B239" s="2172" t="s">
        <v>181</v>
      </c>
      <c r="C239" s="2173"/>
      <c r="D239" s="2173"/>
      <c r="E239" s="2174"/>
      <c r="F239" s="1925"/>
      <c r="G239" s="1925"/>
      <c r="H239" s="2175"/>
      <c r="AR239" s="1441"/>
    </row>
    <row r="240" spans="1:44" x14ac:dyDescent="0.3">
      <c r="B240" s="2045" t="s">
        <v>182</v>
      </c>
      <c r="C240" s="2046"/>
      <c r="D240" s="2046"/>
      <c r="E240" s="2047"/>
      <c r="F240" s="35">
        <v>241.67</v>
      </c>
      <c r="G240" s="35">
        <v>12.72</v>
      </c>
      <c r="H240" s="1764">
        <f>SUM(F240:G240)</f>
        <v>254.39</v>
      </c>
      <c r="AR240" s="1441"/>
    </row>
    <row r="241" spans="1:44" x14ac:dyDescent="0.3">
      <c r="B241" s="2051" t="s">
        <v>183</v>
      </c>
      <c r="C241" s="2052"/>
      <c r="D241" s="2052"/>
      <c r="E241" s="2047"/>
      <c r="F241" s="35">
        <v>763.03</v>
      </c>
      <c r="G241" s="35">
        <v>40.159999999999997</v>
      </c>
      <c r="H241" s="1764">
        <f>SUM(F241:G241)</f>
        <v>803.18999999999994</v>
      </c>
      <c r="AR241" s="1441"/>
    </row>
    <row r="242" spans="1:44" ht="15" thickBot="1" x14ac:dyDescent="0.35">
      <c r="B242" s="2160" t="s">
        <v>184</v>
      </c>
      <c r="C242" s="2161"/>
      <c r="D242" s="2161"/>
      <c r="E242" s="2162"/>
      <c r="F242" s="532">
        <v>1220.58</v>
      </c>
      <c r="G242" s="532">
        <v>64.239999999999995</v>
      </c>
      <c r="H242" s="1765">
        <f>SUM(F242:G242)</f>
        <v>1284.82</v>
      </c>
      <c r="AR242" s="1441"/>
    </row>
    <row r="243" spans="1:44" ht="15" thickBot="1" x14ac:dyDescent="0.35">
      <c r="B243" s="2053" t="s">
        <v>185</v>
      </c>
      <c r="C243" s="2166"/>
      <c r="D243" s="2166"/>
      <c r="E243" s="2055"/>
      <c r="F243" s="2050"/>
      <c r="G243" s="2050"/>
      <c r="H243" s="1997"/>
      <c r="AR243" s="1441"/>
    </row>
    <row r="244" spans="1:44" x14ac:dyDescent="0.3">
      <c r="B244" s="2163" t="s">
        <v>186</v>
      </c>
      <c r="C244" s="2164"/>
      <c r="D244" s="2164"/>
      <c r="E244" s="2165"/>
      <c r="F244" s="533">
        <v>978.9</v>
      </c>
      <c r="G244" s="533">
        <v>51.52</v>
      </c>
      <c r="H244" s="1766">
        <f>SUM(F244:G244)</f>
        <v>1030.42</v>
      </c>
      <c r="AC244" s="54"/>
      <c r="AD244" s="54"/>
      <c r="AE244" s="54"/>
      <c r="AF244" s="54"/>
      <c r="AG244" s="54"/>
      <c r="AH244" s="54"/>
      <c r="AM244" s="1441"/>
      <c r="AN244" s="1441"/>
      <c r="AP244" s="1357"/>
      <c r="AQ244" s="1357"/>
      <c r="AR244" s="1441"/>
    </row>
    <row r="245" spans="1:44" x14ac:dyDescent="0.3">
      <c r="B245" s="2051" t="s">
        <v>187</v>
      </c>
      <c r="C245" s="2052"/>
      <c r="D245" s="2052"/>
      <c r="E245" s="2047"/>
      <c r="F245" s="533">
        <v>978.9</v>
      </c>
      <c r="G245" s="533">
        <v>51.52</v>
      </c>
      <c r="H245" s="1764">
        <f>SUM(F245:G245)</f>
        <v>1030.42</v>
      </c>
    </row>
    <row r="246" spans="1:44" ht="15" thickBot="1" x14ac:dyDescent="0.35">
      <c r="B246" s="2160" t="s">
        <v>188</v>
      </c>
      <c r="C246" s="2162"/>
      <c r="D246" s="2162"/>
      <c r="E246" s="2162"/>
      <c r="F246" s="532">
        <v>1398.43</v>
      </c>
      <c r="G246" s="532">
        <v>73.599999999999994</v>
      </c>
      <c r="H246" s="1765">
        <f>SUM(F246:G246)</f>
        <v>1472.03</v>
      </c>
    </row>
    <row r="247" spans="1:44" ht="15" thickBot="1" x14ac:dyDescent="0.35">
      <c r="B247" s="2053" t="s">
        <v>189</v>
      </c>
      <c r="C247" s="2054"/>
      <c r="D247" s="2054"/>
      <c r="E247" s="2055"/>
      <c r="F247" s="2050"/>
      <c r="G247" s="2050"/>
      <c r="H247" s="1997"/>
    </row>
    <row r="248" spans="1:44" x14ac:dyDescent="0.3">
      <c r="B248" s="2163" t="s">
        <v>190</v>
      </c>
      <c r="C248" s="2165"/>
      <c r="D248" s="2165"/>
      <c r="E248" s="2165"/>
      <c r="F248" s="533">
        <v>1096.33</v>
      </c>
      <c r="G248" s="533">
        <v>57.7</v>
      </c>
      <c r="H248" s="1766">
        <f>SUM(F248:G248)</f>
        <v>1154.03</v>
      </c>
    </row>
    <row r="249" spans="1:44" x14ac:dyDescent="0.3">
      <c r="B249" s="2051" t="s">
        <v>187</v>
      </c>
      <c r="C249" s="2047"/>
      <c r="D249" s="2047"/>
      <c r="E249" s="2047"/>
      <c r="F249" s="533">
        <v>1096.33</v>
      </c>
      <c r="G249" s="533">
        <v>57.7</v>
      </c>
      <c r="H249" s="1764">
        <f>SUM(F249:G249)</f>
        <v>1154.03</v>
      </c>
    </row>
    <row r="250" spans="1:44" x14ac:dyDescent="0.3">
      <c r="B250" s="2045" t="s">
        <v>191</v>
      </c>
      <c r="C250" s="2047"/>
      <c r="D250" s="2047"/>
      <c r="E250" s="2047"/>
      <c r="F250" s="35">
        <v>1492.93</v>
      </c>
      <c r="G250" s="35">
        <v>78.58</v>
      </c>
      <c r="H250" s="1764">
        <f>SUM(F250:G250)</f>
        <v>1571.51</v>
      </c>
    </row>
    <row r="251" spans="1:44" ht="15" thickBot="1" x14ac:dyDescent="0.35">
      <c r="B251" s="2087" t="s">
        <v>192</v>
      </c>
      <c r="C251" s="2088"/>
      <c r="D251" s="2088"/>
      <c r="E251" s="2088"/>
      <c r="F251" s="36">
        <v>1492.93</v>
      </c>
      <c r="G251" s="36">
        <v>78.58</v>
      </c>
      <c r="H251" s="1767">
        <f>SUM(F251:G251)</f>
        <v>1571.51</v>
      </c>
      <c r="K251" s="1178"/>
    </row>
    <row r="253" spans="1:44" ht="15" thickBot="1" x14ac:dyDescent="0.35">
      <c r="A253" s="54">
        <v>144</v>
      </c>
      <c r="B253" s="240" t="s">
        <v>737</v>
      </c>
      <c r="E253" s="1178"/>
      <c r="F253" s="1178"/>
      <c r="G253" s="1178"/>
      <c r="H253" s="1178"/>
      <c r="I253" s="1178"/>
      <c r="J253" s="1178"/>
    </row>
    <row r="254" spans="1:44" ht="15" thickBot="1" x14ac:dyDescent="0.35">
      <c r="B254" s="61" t="str">
        <f>$C$4</f>
        <v>AP</v>
      </c>
    </row>
    <row r="255" spans="1:44" ht="15" thickBot="1" x14ac:dyDescent="0.35">
      <c r="B255" s="249" t="s">
        <v>426</v>
      </c>
      <c r="C255" s="1762">
        <f>IF('Alimentatie 2019-2 (Juli)'!$E$104&lt;=0,0,'Alimentatie 2019-2 (Juli)'!$E$104)</f>
        <v>0</v>
      </c>
      <c r="D255" s="59" t="s">
        <v>428</v>
      </c>
    </row>
    <row r="256" spans="1:44" ht="15" thickBot="1" x14ac:dyDescent="0.35">
      <c r="A256" s="5" t="s">
        <v>417</v>
      </c>
      <c r="B256" s="261" t="s">
        <v>110</v>
      </c>
      <c r="C256" s="262" t="s">
        <v>431</v>
      </c>
      <c r="D256" s="257" t="s">
        <v>427</v>
      </c>
      <c r="E256" s="263" t="s">
        <v>433</v>
      </c>
      <c r="F256" s="6" t="s">
        <v>434</v>
      </c>
      <c r="G256" s="6" t="s">
        <v>334</v>
      </c>
      <c r="H256" s="264" t="s">
        <v>422</v>
      </c>
    </row>
    <row r="257" spans="1:8" x14ac:dyDescent="0.3">
      <c r="A257" s="1748">
        <v>1</v>
      </c>
      <c r="B257" s="1749" t="s">
        <v>430</v>
      </c>
      <c r="C257" s="616"/>
      <c r="D257" s="617"/>
      <c r="E257" s="1750">
        <f>IF('Alimentatie 2019-2 (Juli)'!E246&lt;=0,0,'Alimentatie 2019-2 (Juli)'!E246*12)</f>
        <v>0</v>
      </c>
      <c r="F257" s="616"/>
      <c r="G257" s="1749" t="s">
        <v>432</v>
      </c>
      <c r="H257" s="618"/>
    </row>
    <row r="258" spans="1:8" x14ac:dyDescent="0.3">
      <c r="A258" s="1751">
        <v>2</v>
      </c>
      <c r="B258" s="190" t="s">
        <v>423</v>
      </c>
      <c r="C258" s="1752">
        <f>$M$16-1</f>
        <v>20384</v>
      </c>
      <c r="D258" s="619"/>
      <c r="E258" s="620"/>
      <c r="F258" s="621"/>
      <c r="G258" s="1506"/>
      <c r="H258" s="629">
        <v>14</v>
      </c>
    </row>
    <row r="259" spans="1:8" x14ac:dyDescent="0.3">
      <c r="A259" s="1751">
        <v>3</v>
      </c>
      <c r="B259" s="190" t="s">
        <v>424</v>
      </c>
      <c r="C259" s="1752">
        <f>$M$17-1</f>
        <v>34300</v>
      </c>
      <c r="D259" s="619"/>
      <c r="E259" s="620"/>
      <c r="F259" s="621"/>
      <c r="G259" s="1506"/>
      <c r="H259" s="629">
        <v>11</v>
      </c>
    </row>
    <row r="260" spans="1:8" ht="15" thickBot="1" x14ac:dyDescent="0.35">
      <c r="A260" s="1753">
        <v>4</v>
      </c>
      <c r="B260" s="209" t="s">
        <v>425</v>
      </c>
      <c r="C260" s="1752">
        <f>$M$18-1</f>
        <v>68507</v>
      </c>
      <c r="D260" s="622"/>
      <c r="E260" s="623"/>
      <c r="F260" s="624"/>
      <c r="G260" s="625"/>
      <c r="H260" s="637">
        <v>8</v>
      </c>
    </row>
    <row r="261" spans="1:8" x14ac:dyDescent="0.3">
      <c r="A261" s="1748">
        <v>5</v>
      </c>
      <c r="B261" s="189" t="str">
        <f>CONCATENATE("Bereken [(BI) - € ",C260,"] x ",D261)</f>
        <v>Bereken [(BI) - € 68507] x 0,483</v>
      </c>
      <c r="C261" s="626"/>
      <c r="D261" s="627">
        <v>0.48299999999999998</v>
      </c>
      <c r="E261" s="1754" t="str">
        <f>IF(C255&gt;C260,(C255-C260)*D261,"n.v.t")</f>
        <v>n.v.t</v>
      </c>
      <c r="F261" s="626"/>
      <c r="G261" s="1509" t="s">
        <v>429</v>
      </c>
      <c r="H261" s="628"/>
    </row>
    <row r="262" spans="1:8" x14ac:dyDescent="0.3">
      <c r="A262" s="1751">
        <v>6</v>
      </c>
      <c r="B262" s="190" t="str">
        <f>CONCATENATE("Is (P) groter dan (NA)? Bereken dan (NA) x ",D262)</f>
        <v>Is (P) groter dan (NA)? Bereken dan (NA) x 2,073</v>
      </c>
      <c r="C262" s="620"/>
      <c r="D262" s="619">
        <v>2.073</v>
      </c>
      <c r="E262" s="620"/>
      <c r="F262" s="621" t="str">
        <f>IF(C255&gt;C260,IF(E261&gt;E257,E257*D262,"Kleiner"),"n.v.t")</f>
        <v>n.v.t</v>
      </c>
      <c r="G262" s="1756" t="s">
        <v>113</v>
      </c>
      <c r="H262" s="641">
        <v>15</v>
      </c>
    </row>
    <row r="263" spans="1:8" x14ac:dyDescent="0.3">
      <c r="A263" s="1751">
        <v>7</v>
      </c>
      <c r="B263" s="190" t="str">
        <f>CONCATENATE("Bereken (P) x ",D262)</f>
        <v>Bereken (P) x 2,073</v>
      </c>
      <c r="C263" s="620"/>
      <c r="D263" s="619"/>
      <c r="E263" s="620"/>
      <c r="F263" s="621" t="str">
        <f>IF(F262="Kleiner",E261*D262,"n.v.t")</f>
        <v>n.v.t</v>
      </c>
      <c r="G263" s="1756" t="s">
        <v>113</v>
      </c>
      <c r="H263" s="629"/>
    </row>
    <row r="264" spans="1:8" x14ac:dyDescent="0.3">
      <c r="A264" s="1751"/>
      <c r="B264" s="1757" t="s">
        <v>435</v>
      </c>
      <c r="C264" s="630"/>
      <c r="D264" s="631"/>
      <c r="E264" s="1755" t="str">
        <f>IF(OR(C255&gt;C260,LEFT(F262,7)="Kleiner"),E257-E261,"n.v.t")</f>
        <v>n.v.t</v>
      </c>
      <c r="F264" s="632"/>
      <c r="G264" s="630" t="s">
        <v>432</v>
      </c>
      <c r="H264" s="633"/>
    </row>
    <row r="265" spans="1:8" x14ac:dyDescent="0.3">
      <c r="A265" s="1751"/>
      <c r="B265" s="252" t="s">
        <v>436</v>
      </c>
      <c r="C265" s="620"/>
      <c r="D265" s="619"/>
      <c r="E265" s="621"/>
      <c r="F265" s="621"/>
      <c r="G265" s="620"/>
      <c r="H265" s="629"/>
    </row>
    <row r="266" spans="1:8" ht="16.8" thickBot="1" x14ac:dyDescent="0.35">
      <c r="A266" s="1758"/>
      <c r="B266" s="253" t="str">
        <f>CONCATENATE("(BI) stellen we nu op € ",C260)</f>
        <v>(BI) stellen we nu op € 68507</v>
      </c>
      <c r="C266" s="1759" t="s">
        <v>437</v>
      </c>
      <c r="D266" s="634"/>
      <c r="E266" s="1507"/>
      <c r="F266" s="1507"/>
      <c r="G266" s="1507"/>
      <c r="H266" s="1508"/>
    </row>
    <row r="267" spans="1:8" x14ac:dyDescent="0.3">
      <c r="A267" s="1748">
        <v>8</v>
      </c>
      <c r="B267" s="189" t="str">
        <f>CONCATENATE("Bereken [(BI) - € ",C259,"] x ",D267)</f>
        <v>Bereken [(BI) - € 34300] x 0,619</v>
      </c>
      <c r="C267" s="1750">
        <f>IF(F262="n.v.t",0,IF(LEFT(F262,7)="Kleiner",C260,0))</f>
        <v>0</v>
      </c>
      <c r="D267" s="627">
        <v>0.61899999999999999</v>
      </c>
      <c r="E267" s="1763" t="str">
        <f>IF(C267=C260,(C260-C259)*D267,IF(AND(C255&lt;=C260,C255&gt;C259),(C255-C259)*D267,"n.v.t"))</f>
        <v>n.v.t</v>
      </c>
      <c r="F267" s="635"/>
      <c r="G267" s="626" t="s">
        <v>429</v>
      </c>
      <c r="H267" s="628"/>
    </row>
    <row r="268" spans="1:8" x14ac:dyDescent="0.3">
      <c r="A268" s="1751">
        <v>9</v>
      </c>
      <c r="B268" s="190" t="str">
        <f>CONCATENATE("Is (P) groter dan (NA) bereken dan (NA) x ",D268)</f>
        <v>Is (P) groter dan (NA) bereken dan (NA) x 1,616</v>
      </c>
      <c r="C268" s="620"/>
      <c r="D268" s="619">
        <v>1.6160000000000001</v>
      </c>
      <c r="E268" s="621"/>
      <c r="F268" s="621" t="str">
        <f>IF(C255&lt;=C259,"n.v.t",IF(AND(C267=C260,E267&gt;E264),E264*D267,IF(AND(C267=0,E267&gt;E257),E257*D268,"Kleiner")))</f>
        <v>n.v.t</v>
      </c>
      <c r="G268" s="1756" t="s">
        <v>113</v>
      </c>
      <c r="H268" s="629">
        <v>15</v>
      </c>
    </row>
    <row r="269" spans="1:8" x14ac:dyDescent="0.3">
      <c r="A269" s="1751">
        <v>10</v>
      </c>
      <c r="B269" s="190" t="str">
        <f>CONCATENATE("Bereken (P) x ",D268)</f>
        <v>Bereken (P) x 1,616</v>
      </c>
      <c r="C269" s="636"/>
      <c r="D269" s="636"/>
      <c r="E269" s="620"/>
      <c r="F269" s="621" t="str">
        <f>IF(F268="Kleiner",E267*D268,"n.v.t")</f>
        <v>n.v.t</v>
      </c>
      <c r="G269" s="1756" t="s">
        <v>113</v>
      </c>
      <c r="H269" s="629"/>
    </row>
    <row r="270" spans="1:8" x14ac:dyDescent="0.3">
      <c r="A270" s="1751"/>
      <c r="B270" s="1757" t="s">
        <v>435</v>
      </c>
      <c r="C270" s="630"/>
      <c r="D270" s="631"/>
      <c r="E270" s="1755" t="str">
        <f>IF(AND(C267=C260,F268="Kleiner"),(E264-E267),IF(AND(C255&lt;=C260,C255&gt;C259,F268="Kleiner"),E257-E267,"n.v.t"))</f>
        <v>n.v.t</v>
      </c>
      <c r="F270" s="632"/>
      <c r="G270" s="630" t="s">
        <v>432</v>
      </c>
      <c r="H270" s="633"/>
    </row>
    <row r="271" spans="1:8" x14ac:dyDescent="0.3">
      <c r="A271" s="1751"/>
      <c r="B271" s="252" t="s">
        <v>418</v>
      </c>
      <c r="C271" s="620"/>
      <c r="D271" s="619"/>
      <c r="E271" s="621"/>
      <c r="F271" s="621"/>
      <c r="G271" s="620"/>
      <c r="H271" s="629"/>
    </row>
    <row r="272" spans="1:8" ht="16.8" thickBot="1" x14ac:dyDescent="0.35">
      <c r="A272" s="1753"/>
      <c r="B272" s="256" t="s">
        <v>419</v>
      </c>
      <c r="C272" s="1760" t="s">
        <v>437</v>
      </c>
      <c r="D272" s="622"/>
      <c r="E272" s="624"/>
      <c r="F272" s="624"/>
      <c r="G272" s="623"/>
      <c r="H272" s="637"/>
    </row>
    <row r="273" spans="1:8" x14ac:dyDescent="0.3">
      <c r="A273" s="1748">
        <v>11</v>
      </c>
      <c r="B273" s="189" t="str">
        <f>CONCATENATE("Bereken [(BI) - ",C258," x ",D273)</f>
        <v>Bereken [(BI) - 20384 x 0,619</v>
      </c>
      <c r="C273" s="1750">
        <f>IF(F268="n.v.t",0,IF(LEFT(F268,7)="Kleiner",C259,0))</f>
        <v>0</v>
      </c>
      <c r="D273" s="627">
        <v>0.61899999999999999</v>
      </c>
      <c r="E273" s="1754" t="str">
        <f>IF(C$11&gt;$C$15,IF(C273=C259,(C259-C258)*D273,IF(AND(C255&lt;=C259,C255&gt;C258),(C255-C258)*D273,"n.v.t")),IF(C273=C259,(C259-C258)*D275,IF(AND(C255&lt;=C259,C255&gt;C258),(C255-C258)*D275,"n.v.t")))</f>
        <v>n.v.t</v>
      </c>
      <c r="F273" s="635"/>
      <c r="G273" s="626" t="s">
        <v>429</v>
      </c>
      <c r="H273" s="628"/>
    </row>
    <row r="274" spans="1:8" x14ac:dyDescent="0.3">
      <c r="A274" s="1751"/>
      <c r="B274" s="190" t="s">
        <v>420</v>
      </c>
      <c r="C274" s="620"/>
      <c r="D274" s="619"/>
      <c r="E274" s="621"/>
      <c r="F274" s="621"/>
      <c r="G274" s="620"/>
      <c r="H274" s="629"/>
    </row>
    <row r="275" spans="1:8" x14ac:dyDescent="0.3">
      <c r="A275" s="1751"/>
      <c r="B275" s="190" t="str">
        <f>CONCATENATE("Bereken [(BI) - ",C258," x ",D275)</f>
        <v>Bereken [(BI) - 20384 x 0,798</v>
      </c>
      <c r="C275" s="620"/>
      <c r="D275" s="619">
        <v>0.79800000000000004</v>
      </c>
      <c r="E275" s="1506"/>
      <c r="F275" s="1506"/>
      <c r="G275" s="620" t="s">
        <v>429</v>
      </c>
      <c r="H275" s="629"/>
    </row>
    <row r="276" spans="1:8" x14ac:dyDescent="0.3">
      <c r="A276" s="1751">
        <v>12</v>
      </c>
      <c r="B276" s="190" t="str">
        <f>CONCATENATE("Is (P) groter dan (NA) bereken dan (NA) x ",D276)</f>
        <v>Is (P) groter dan (NA) bereken dan (NA) x 1,616</v>
      </c>
      <c r="C276" s="620"/>
      <c r="D276" s="619">
        <v>1.6160000000000001</v>
      </c>
      <c r="E276" s="621"/>
      <c r="F276" s="1755" t="str">
        <f>IF(C$12&gt;$C$15,IF(OR(C255&lt;=C258,E273="n.v.t"),"n.v.t",IF(AND(C273=C259,E273&gt;E270),E270*D276,IF(AND(C273=0,E273&gt;E257),E257*D273,"Kleiner"))),IF(OR(C255&lt;=C258,E273="n.v.t"),"n.v.t",IF(AND(C273=C259,E273&gt;E270),E270*D278,IF(AND(C273=0,E273&gt;E257),E257*D275,"Kleiner"))))</f>
        <v>n.v.t</v>
      </c>
      <c r="G276" s="1756" t="s">
        <v>113</v>
      </c>
      <c r="H276" s="629"/>
    </row>
    <row r="277" spans="1:8" x14ac:dyDescent="0.3">
      <c r="A277" s="1751"/>
      <c r="B277" s="190" t="s">
        <v>438</v>
      </c>
      <c r="C277" s="620"/>
      <c r="D277" s="619"/>
      <c r="E277" s="621"/>
      <c r="F277" s="254"/>
      <c r="G277" s="255"/>
      <c r="H277" s="629"/>
    </row>
    <row r="278" spans="1:8" x14ac:dyDescent="0.3">
      <c r="A278" s="1751"/>
      <c r="B278" s="190" t="str">
        <f>CONCATENATE("Bereken dan (NA) x ",D278)</f>
        <v>Bereken dan (NA) x 1,253</v>
      </c>
      <c r="C278" s="620"/>
      <c r="D278" s="619">
        <v>1.2529999999999999</v>
      </c>
      <c r="E278" s="621"/>
      <c r="F278" s="621"/>
      <c r="G278" s="620"/>
      <c r="H278" s="629"/>
    </row>
    <row r="279" spans="1:8" x14ac:dyDescent="0.3">
      <c r="A279" s="1751">
        <v>13</v>
      </c>
      <c r="B279" s="190" t="str">
        <f>CONCATENATE("Bereken (P) x ",D276)</f>
        <v>Bereken (P) x 1,616</v>
      </c>
      <c r="C279" s="620"/>
      <c r="D279" s="619">
        <v>1.6160000000000001</v>
      </c>
      <c r="E279" s="1506"/>
      <c r="F279" s="1755" t="str">
        <f>IF(C$12&gt;$C$15,IF(OR(C255&lt;=C258,E273="n.v.t"),"n.v.t",IF(F276="Kleiner",E273*D279,"n.v.t")),IF(OR(C255&lt;=C258,E273="n.v.t"),"n.v.t",IF(F276="Kleiner",E273*D281,"n.v.t")))</f>
        <v>n.v.t</v>
      </c>
      <c r="G279" s="620"/>
      <c r="H279" s="629"/>
    </row>
    <row r="280" spans="1:8" x14ac:dyDescent="0.3">
      <c r="A280" s="1751"/>
      <c r="B280" s="1761" t="s">
        <v>439</v>
      </c>
      <c r="C280" s="620"/>
      <c r="D280" s="619"/>
      <c r="E280" s="621"/>
      <c r="F280" s="620"/>
      <c r="G280" s="620"/>
      <c r="H280" s="629"/>
    </row>
    <row r="281" spans="1:8" x14ac:dyDescent="0.3">
      <c r="A281" s="1751"/>
      <c r="B281" s="190" t="str">
        <f>CONCATENATE("Bereken (P) x ",D281)</f>
        <v>Bereken (P) x 1,253</v>
      </c>
      <c r="C281" s="620"/>
      <c r="D281" s="619">
        <v>1.2529999999999999</v>
      </c>
      <c r="E281" s="620"/>
      <c r="F281" s="620"/>
      <c r="G281" s="620"/>
      <c r="H281" s="629"/>
    </row>
    <row r="282" spans="1:8" x14ac:dyDescent="0.3">
      <c r="A282" s="1751"/>
      <c r="B282" s="1757" t="s">
        <v>435</v>
      </c>
      <c r="C282" s="630"/>
      <c r="D282" s="631"/>
      <c r="E282" s="1755" t="str">
        <f>IF(OR(C255&lt;=C258,F279="n.v.t"),"n.v.t",IF(E273="n.v.t","n.v.t",IF(C273=C259,E270-E273,E257-E273)))</f>
        <v>n.v.t</v>
      </c>
      <c r="F282" s="630"/>
      <c r="G282" s="630" t="s">
        <v>432</v>
      </c>
      <c r="H282" s="633"/>
    </row>
    <row r="283" spans="1:8" ht="15" thickBot="1" x14ac:dyDescent="0.35">
      <c r="A283" s="1758"/>
      <c r="B283" s="253" t="s">
        <v>421</v>
      </c>
      <c r="C283" s="638"/>
      <c r="D283" s="639"/>
      <c r="E283" s="639"/>
      <c r="F283" s="638"/>
      <c r="G283" s="638"/>
      <c r="H283" s="640"/>
    </row>
    <row r="284" spans="1:8" x14ac:dyDescent="0.3">
      <c r="A284" s="1748">
        <v>14</v>
      </c>
      <c r="B284" s="189" t="str">
        <f>CONCATENATE("Bereken (NA) x ",D284)</f>
        <v>Bereken (NA) x 1,579</v>
      </c>
      <c r="C284" s="626"/>
      <c r="D284" s="627">
        <v>1.579</v>
      </c>
      <c r="E284" s="635"/>
      <c r="F284" s="1754">
        <f>IF(C$12&gt;$C$15,IF(C255&lt;=C258,E257*D284,IF(E282="n.v.t","n.v.t",E282*D284)),IF(C255&lt;=C258,E257*D284,IF(E282="n.v.t","n.v.t",E282*D286)))</f>
        <v>0</v>
      </c>
      <c r="G284" s="626"/>
      <c r="H284" s="628"/>
    </row>
    <row r="285" spans="1:8" x14ac:dyDescent="0.3">
      <c r="A285" s="1751"/>
      <c r="B285" s="1761" t="s">
        <v>439</v>
      </c>
      <c r="C285" s="620"/>
      <c r="D285" s="619"/>
      <c r="E285" s="621"/>
      <c r="F285" s="620"/>
      <c r="G285" s="620"/>
      <c r="H285" s="629"/>
    </row>
    <row r="286" spans="1:8" ht="15" thickBot="1" x14ac:dyDescent="0.35">
      <c r="A286" s="1758"/>
      <c r="B286" s="191" t="str">
        <f>CONCATENATE("Bereken (NA) x ",D286)</f>
        <v>Bereken (NA) x 1,231</v>
      </c>
      <c r="C286" s="638"/>
      <c r="D286" s="639">
        <v>1.2310000000000001</v>
      </c>
      <c r="E286" s="638"/>
      <c r="F286" s="638"/>
      <c r="G286" s="638"/>
      <c r="H286" s="640"/>
    </row>
    <row r="287" spans="1:8" ht="16.2" thickBot="1" x14ac:dyDescent="0.35">
      <c r="A287" s="259">
        <v>144</v>
      </c>
      <c r="B287" s="2127" t="s">
        <v>549</v>
      </c>
      <c r="C287" s="1924"/>
      <c r="D287" s="1924"/>
      <c r="E287" s="2145"/>
      <c r="F287" s="692">
        <f>IF(LEFT('Alimentatie 2019-2 (Juli)'!E253,2)="Ja","Zie 145/146",SUM(F257:F286))</f>
        <v>0</v>
      </c>
      <c r="G287" s="258"/>
      <c r="H287" s="260"/>
    </row>
    <row r="288" spans="1:8" x14ac:dyDescent="0.3">
      <c r="E288" s="250"/>
      <c r="F288" s="770"/>
      <c r="G288" s="250"/>
      <c r="H288" s="250"/>
    </row>
    <row r="289" spans="1:9" ht="15" thickBot="1" x14ac:dyDescent="0.35">
      <c r="B289" s="240" t="s">
        <v>737</v>
      </c>
    </row>
    <row r="290" spans="1:9" ht="15" thickBot="1" x14ac:dyDescent="0.35">
      <c r="A290" s="54">
        <v>144</v>
      </c>
      <c r="B290" s="61" t="str">
        <f>$D$4</f>
        <v>AG</v>
      </c>
      <c r="E290" s="415"/>
      <c r="F290" s="415"/>
      <c r="G290" s="415"/>
      <c r="H290" s="415"/>
      <c r="I290" s="415"/>
    </row>
    <row r="291" spans="1:9" ht="15" thickBot="1" x14ac:dyDescent="0.35">
      <c r="B291" s="249" t="s">
        <v>738</v>
      </c>
      <c r="C291" s="1762">
        <f>IF('Alimentatie 2019-2 (Juli)'!$G$104&lt;=0,0,'Alimentatie 2019-2 (Juli)'!$G$104)</f>
        <v>0</v>
      </c>
      <c r="D291" s="59" t="s">
        <v>428</v>
      </c>
      <c r="E291" s="415"/>
      <c r="F291" s="415"/>
      <c r="G291" s="415"/>
      <c r="H291" s="415"/>
      <c r="I291" s="415"/>
    </row>
    <row r="292" spans="1:9" ht="15" thickBot="1" x14ac:dyDescent="0.35">
      <c r="A292" s="5" t="s">
        <v>417</v>
      </c>
      <c r="B292" s="261" t="s">
        <v>110</v>
      </c>
      <c r="C292" s="262" t="s">
        <v>431</v>
      </c>
      <c r="D292" s="257" t="s">
        <v>427</v>
      </c>
      <c r="E292" s="263" t="s">
        <v>433</v>
      </c>
      <c r="F292" s="6" t="s">
        <v>434</v>
      </c>
      <c r="G292" s="6" t="s">
        <v>334</v>
      </c>
      <c r="H292" s="264" t="s">
        <v>422</v>
      </c>
      <c r="I292" s="415"/>
    </row>
    <row r="293" spans="1:9" x14ac:dyDescent="0.3">
      <c r="A293" s="1748">
        <v>1</v>
      </c>
      <c r="B293" s="1749" t="s">
        <v>430</v>
      </c>
      <c r="C293" s="616"/>
      <c r="D293" s="617"/>
      <c r="E293" s="1750">
        <f>IF('Alimentatie 2019-2 (Juli)'!G246&lt;=0,0,'Alimentatie 2019-2 (Juli)'!G246*12)</f>
        <v>0</v>
      </c>
      <c r="F293" s="616"/>
      <c r="G293" s="1749" t="s">
        <v>432</v>
      </c>
      <c r="H293" s="618"/>
      <c r="I293" s="415"/>
    </row>
    <row r="294" spans="1:9" x14ac:dyDescent="0.3">
      <c r="A294" s="1751">
        <v>2</v>
      </c>
      <c r="B294" s="190" t="s">
        <v>423</v>
      </c>
      <c r="C294" s="1752">
        <f>$M$16-1</f>
        <v>20384</v>
      </c>
      <c r="D294" s="619"/>
      <c r="E294" s="620"/>
      <c r="F294" s="621"/>
      <c r="G294" s="1506"/>
      <c r="H294" s="629">
        <v>14</v>
      </c>
      <c r="I294" s="415"/>
    </row>
    <row r="295" spans="1:9" x14ac:dyDescent="0.3">
      <c r="A295" s="1751">
        <v>3</v>
      </c>
      <c r="B295" s="190" t="s">
        <v>424</v>
      </c>
      <c r="C295" s="1752">
        <f>$M$17-1</f>
        <v>34300</v>
      </c>
      <c r="D295" s="619"/>
      <c r="E295" s="620"/>
      <c r="F295" s="621"/>
      <c r="G295" s="1506"/>
      <c r="H295" s="629">
        <v>11</v>
      </c>
      <c r="I295" s="415"/>
    </row>
    <row r="296" spans="1:9" ht="15" thickBot="1" x14ac:dyDescent="0.35">
      <c r="A296" s="1753">
        <v>4</v>
      </c>
      <c r="B296" s="209" t="s">
        <v>425</v>
      </c>
      <c r="C296" s="1752">
        <f>$M$18-1</f>
        <v>68507</v>
      </c>
      <c r="D296" s="622"/>
      <c r="E296" s="623"/>
      <c r="F296" s="624"/>
      <c r="G296" s="625"/>
      <c r="H296" s="637">
        <v>8</v>
      </c>
      <c r="I296" s="415"/>
    </row>
    <row r="297" spans="1:9" x14ac:dyDescent="0.3">
      <c r="A297" s="1748">
        <v>5</v>
      </c>
      <c r="B297" s="189" t="str">
        <f>CONCATENATE("Bereken [(BI) - € ",C296,"] x ",D297)</f>
        <v>Bereken [(BI) - € 68507] x 0,483</v>
      </c>
      <c r="C297" s="626"/>
      <c r="D297" s="627">
        <v>0.48299999999999998</v>
      </c>
      <c r="E297" s="1754" t="str">
        <f>IF(C291&gt;C296,(C291-C296)*D297,"n.v.t")</f>
        <v>n.v.t</v>
      </c>
      <c r="F297" s="626"/>
      <c r="G297" s="1509" t="s">
        <v>429</v>
      </c>
      <c r="H297" s="628"/>
      <c r="I297" s="415"/>
    </row>
    <row r="298" spans="1:9" x14ac:dyDescent="0.3">
      <c r="A298" s="1751">
        <v>6</v>
      </c>
      <c r="B298" s="190" t="str">
        <f>CONCATENATE("Is (P) groter dan (NA)? Bereken dan (NA) x ",D298)</f>
        <v>Is (P) groter dan (NA)? Bereken dan (NA) x 2,073</v>
      </c>
      <c r="C298" s="620"/>
      <c r="D298" s="619">
        <v>2.073</v>
      </c>
      <c r="E298" s="620"/>
      <c r="F298" s="1755" t="str">
        <f>IF(C291&gt;C296,IF(E297&gt;E293,E293*D298,"Kleiner"),"n.v.t")</f>
        <v>n.v.t</v>
      </c>
      <c r="G298" s="1756" t="s">
        <v>113</v>
      </c>
      <c r="H298" s="641">
        <v>15</v>
      </c>
      <c r="I298" s="415"/>
    </row>
    <row r="299" spans="1:9" x14ac:dyDescent="0.3">
      <c r="A299" s="1751">
        <v>7</v>
      </c>
      <c r="B299" s="190" t="str">
        <f>CONCATENATE("Bereken (P) x ",D298)</f>
        <v>Bereken (P) x 2,073</v>
      </c>
      <c r="C299" s="620"/>
      <c r="D299" s="619"/>
      <c r="E299" s="620"/>
      <c r="F299" s="1755" t="str">
        <f>IF(F298="Kleiner",E297*D298,"n.v.t")</f>
        <v>n.v.t</v>
      </c>
      <c r="G299" s="1756" t="s">
        <v>113</v>
      </c>
      <c r="H299" s="629"/>
      <c r="I299" s="415"/>
    </row>
    <row r="300" spans="1:9" x14ac:dyDescent="0.3">
      <c r="A300" s="1751"/>
      <c r="B300" s="1757" t="s">
        <v>435</v>
      </c>
      <c r="C300" s="630"/>
      <c r="D300" s="631"/>
      <c r="E300" s="1755" t="str">
        <f>IF(OR(C291&gt;C296,LEFT(F298,7)="Kleiner"),E293-E297,"n.v.t")</f>
        <v>n.v.t</v>
      </c>
      <c r="F300" s="632"/>
      <c r="G300" s="630" t="s">
        <v>432</v>
      </c>
      <c r="H300" s="633"/>
      <c r="I300" s="415"/>
    </row>
    <row r="301" spans="1:9" x14ac:dyDescent="0.3">
      <c r="A301" s="1751"/>
      <c r="B301" s="252" t="s">
        <v>436</v>
      </c>
      <c r="C301" s="620"/>
      <c r="D301" s="619"/>
      <c r="E301" s="621"/>
      <c r="F301" s="621"/>
      <c r="G301" s="620"/>
      <c r="H301" s="629"/>
      <c r="I301" s="415"/>
    </row>
    <row r="302" spans="1:9" ht="16.8" thickBot="1" x14ac:dyDescent="0.35">
      <c r="A302" s="1758"/>
      <c r="B302" s="253" t="str">
        <f>CONCATENATE("(BI) stellen we nu op € ",C296)</f>
        <v>(BI) stellen we nu op € 68507</v>
      </c>
      <c r="C302" s="1759" t="s">
        <v>437</v>
      </c>
      <c r="D302" s="634"/>
      <c r="E302" s="1507"/>
      <c r="F302" s="1507"/>
      <c r="G302" s="1507"/>
      <c r="H302" s="1508"/>
      <c r="I302" s="415"/>
    </row>
    <row r="303" spans="1:9" x14ac:dyDescent="0.3">
      <c r="A303" s="1748">
        <v>8</v>
      </c>
      <c r="B303" s="189" t="str">
        <f>CONCATENATE("Bereken [(BI) - € ",C295,"] x ",D303)</f>
        <v>Bereken [(BI) - € 34300] x 0,619</v>
      </c>
      <c r="C303" s="1750">
        <f>IF(F298="n.v.t",0,IF(LEFT(F298,7)="Kleiner",C296,0))</f>
        <v>0</v>
      </c>
      <c r="D303" s="627">
        <v>0.61899999999999999</v>
      </c>
      <c r="E303" s="1754" t="str">
        <f>IF(C303=C296,(C296-C295)*D303,IF(AND(C291&lt;=C296,C291&gt;C295),(C291-C295)*D303,"n.v.t"))</f>
        <v>n.v.t</v>
      </c>
      <c r="F303" s="635"/>
      <c r="G303" s="626" t="s">
        <v>429</v>
      </c>
      <c r="H303" s="628"/>
      <c r="I303" s="415"/>
    </row>
    <row r="304" spans="1:9" x14ac:dyDescent="0.3">
      <c r="A304" s="1751">
        <v>9</v>
      </c>
      <c r="B304" s="190" t="str">
        <f>CONCATENATE("Is (P) groter dan (NA) bereken dan (NA) x ",D304)</f>
        <v>Is (P) groter dan (NA) bereken dan (NA) x 1,616</v>
      </c>
      <c r="C304" s="620"/>
      <c r="D304" s="619">
        <v>1.6160000000000001</v>
      </c>
      <c r="E304" s="621"/>
      <c r="F304" s="1755" t="str">
        <f>IF(C291&lt;=C295,"n.v.t",IF(AND(C303=C296,E303&gt;E300),E300*D303,IF(AND(C303=0,E303&gt;E293),E293*D304,"Kleiner")))</f>
        <v>n.v.t</v>
      </c>
      <c r="G304" s="1756" t="s">
        <v>113</v>
      </c>
      <c r="H304" s="629">
        <v>15</v>
      </c>
      <c r="I304" s="415"/>
    </row>
    <row r="305" spans="1:18" s="1475" customFormat="1" x14ac:dyDescent="0.3">
      <c r="A305" s="1751">
        <v>10</v>
      </c>
      <c r="B305" s="190" t="str">
        <f>CONCATENATE("Bereken (P) x ",D304)</f>
        <v>Bereken (P) x 1,616</v>
      </c>
      <c r="C305" s="636"/>
      <c r="D305" s="636"/>
      <c r="E305" s="620"/>
      <c r="F305" s="1755" t="str">
        <f>IF(F304="Kleiner",E303*D304,"n.v.t")</f>
        <v>n.v.t</v>
      </c>
      <c r="G305" s="1756" t="s">
        <v>113</v>
      </c>
      <c r="H305" s="629"/>
      <c r="I305" s="415"/>
      <c r="J305" s="265"/>
      <c r="K305" s="373"/>
      <c r="M305" s="54"/>
      <c r="N305" s="54"/>
      <c r="O305" s="54"/>
      <c r="P305" s="54"/>
      <c r="Q305" s="54"/>
      <c r="R305" s="54"/>
    </row>
    <row r="306" spans="1:18" x14ac:dyDescent="0.3">
      <c r="A306" s="1751"/>
      <c r="B306" s="1757" t="s">
        <v>435</v>
      </c>
      <c r="C306" s="630"/>
      <c r="D306" s="631"/>
      <c r="E306" s="1755" t="str">
        <f>IF(AND(C303=C296,F304="Kleiner"),(E300-E303),IF(AND(C291&lt;=C296,C291&gt;C295,F304="Kleiner"),E293-E303,"n.v.t"))</f>
        <v>n.v.t</v>
      </c>
      <c r="F306" s="632"/>
      <c r="G306" s="630" t="s">
        <v>432</v>
      </c>
      <c r="H306" s="633"/>
      <c r="I306" s="415"/>
    </row>
    <row r="307" spans="1:18" x14ac:dyDescent="0.3">
      <c r="A307" s="1751"/>
      <c r="B307" s="252" t="s">
        <v>418</v>
      </c>
      <c r="C307" s="620"/>
      <c r="D307" s="619"/>
      <c r="E307" s="621"/>
      <c r="F307" s="621"/>
      <c r="G307" s="620"/>
      <c r="H307" s="629"/>
      <c r="I307" s="415"/>
    </row>
    <row r="308" spans="1:18" ht="16.8" thickBot="1" x14ac:dyDescent="0.35">
      <c r="A308" s="1753"/>
      <c r="B308" s="256" t="s">
        <v>419</v>
      </c>
      <c r="C308" s="1760" t="s">
        <v>437</v>
      </c>
      <c r="D308" s="622"/>
      <c r="E308" s="624"/>
      <c r="F308" s="624"/>
      <c r="G308" s="623"/>
      <c r="H308" s="637"/>
      <c r="I308" s="415"/>
    </row>
    <row r="309" spans="1:18" x14ac:dyDescent="0.3">
      <c r="A309" s="1748">
        <v>11</v>
      </c>
      <c r="B309" s="189" t="str">
        <f>CONCATENATE("Bereken [(BI) - ",C294," x ",D309)</f>
        <v>Bereken [(BI) - 20384 x 0,619</v>
      </c>
      <c r="C309" s="1750">
        <f>IF(F304="n.v.t",0,IF(LEFT(F304,7)="Kleiner",C295,0))</f>
        <v>0</v>
      </c>
      <c r="D309" s="627">
        <v>0.61899999999999999</v>
      </c>
      <c r="E309" s="1754" t="str">
        <f>IF(D$11&gt;$C$15,IF(C309=C295,(C295-C294)*D309,IF(AND(C291&lt;=C295,C291&gt;C294),(C291-C294)*D309,"n.v.t")),IF(C309=C295,(C295-C294)*D311,IF(AND(C291&lt;=C295,C291&gt;C294),(C291-C294)*D311,"n.v.t")))</f>
        <v>n.v.t</v>
      </c>
      <c r="F309" s="635"/>
      <c r="G309" s="626" t="s">
        <v>429</v>
      </c>
      <c r="H309" s="628"/>
      <c r="I309" s="415"/>
    </row>
    <row r="310" spans="1:18" x14ac:dyDescent="0.3">
      <c r="A310" s="1751"/>
      <c r="B310" s="190" t="s">
        <v>420</v>
      </c>
      <c r="C310" s="620"/>
      <c r="D310" s="619"/>
      <c r="E310" s="621"/>
      <c r="F310" s="621"/>
      <c r="G310" s="620"/>
      <c r="H310" s="629"/>
      <c r="I310" s="415"/>
    </row>
    <row r="311" spans="1:18" x14ac:dyDescent="0.3">
      <c r="A311" s="1751"/>
      <c r="B311" s="190" t="str">
        <f>CONCATENATE("Bereken [(BI) - ",C294," x ",D311)</f>
        <v>Bereken [(BI) - 20384 x 0,798</v>
      </c>
      <c r="C311" s="620"/>
      <c r="D311" s="619">
        <v>0.79800000000000004</v>
      </c>
      <c r="E311" s="1506"/>
      <c r="F311" s="1506"/>
      <c r="G311" s="620" t="s">
        <v>429</v>
      </c>
      <c r="H311" s="629"/>
      <c r="I311" s="415"/>
    </row>
    <row r="312" spans="1:18" x14ac:dyDescent="0.3">
      <c r="A312" s="1751">
        <v>12</v>
      </c>
      <c r="B312" s="190" t="str">
        <f>CONCATENATE("Is (P) groter dan (NA) bereken dan (NA) x ",D312)</f>
        <v>Is (P) groter dan (NA) bereken dan (NA) x 1,616</v>
      </c>
      <c r="C312" s="620"/>
      <c r="D312" s="619">
        <v>1.6160000000000001</v>
      </c>
      <c r="E312" s="621"/>
      <c r="F312" s="1755" t="str">
        <f>IF(D$12&gt;$C$15,IF(OR(C291&lt;=C294,E309="n.v.t"),"n.v.t",IF(AND(C309=C295,E309&gt;E306),E306*D312,IF(AND(C309=0,E309&gt;E293),E293*D309,"Kleiner"))),IF(OR(C291&lt;=C294,E309="n.v.t"),"n.v.t",IF(AND(C309=C295,E309&gt;E306),E306*D314,IF(AND(C309=0,E309&gt;E293),E293*D311,"Kleiner"))))</f>
        <v>n.v.t</v>
      </c>
      <c r="G312" s="1756" t="s">
        <v>113</v>
      </c>
      <c r="H312" s="629"/>
      <c r="I312" s="415"/>
    </row>
    <row r="313" spans="1:18" x14ac:dyDescent="0.3">
      <c r="A313" s="1751"/>
      <c r="B313" s="190" t="s">
        <v>438</v>
      </c>
      <c r="C313" s="620"/>
      <c r="D313" s="619"/>
      <c r="E313" s="621"/>
      <c r="F313" s="254"/>
      <c r="G313" s="255"/>
      <c r="H313" s="629"/>
      <c r="I313" s="415"/>
    </row>
    <row r="314" spans="1:18" x14ac:dyDescent="0.3">
      <c r="A314" s="1751"/>
      <c r="B314" s="190" t="str">
        <f>CONCATENATE("Bereken dan (NA) x ",D314)</f>
        <v>Bereken dan (NA) x 1,253</v>
      </c>
      <c r="C314" s="620"/>
      <c r="D314" s="619">
        <v>1.2529999999999999</v>
      </c>
      <c r="E314" s="621"/>
      <c r="F314" s="621"/>
      <c r="G314" s="620"/>
      <c r="H314" s="629"/>
      <c r="I314" s="415"/>
    </row>
    <row r="315" spans="1:18" x14ac:dyDescent="0.3">
      <c r="A315" s="1751">
        <v>13</v>
      </c>
      <c r="B315" s="190" t="str">
        <f>CONCATENATE("Bereken (P) x ",D312)</f>
        <v>Bereken (P) x 1,616</v>
      </c>
      <c r="C315" s="620"/>
      <c r="D315" s="619">
        <v>1.6160000000000001</v>
      </c>
      <c r="E315" s="1506"/>
      <c r="F315" s="1755" t="str">
        <f>IF(D$12&gt;$C$15,IF(OR(C291&lt;=C294,E309="n.v.t"),"n.v.t",IF(F312="Kleiner",E309*D315,"n.v.t")),IF(OR(C291&lt;=C294,E309="n.v.t"),"n.v.t",IF(F312="Kleiner",E309*D317,"n.v.t")))</f>
        <v>n.v.t</v>
      </c>
      <c r="G315" s="620"/>
      <c r="H315" s="629"/>
      <c r="I315" s="415"/>
    </row>
    <row r="316" spans="1:18" x14ac:dyDescent="0.3">
      <c r="A316" s="1751"/>
      <c r="B316" s="1761" t="s">
        <v>439</v>
      </c>
      <c r="C316" s="620"/>
      <c r="D316" s="619"/>
      <c r="E316" s="621"/>
      <c r="F316" s="620"/>
      <c r="G316" s="620"/>
      <c r="H316" s="629"/>
      <c r="I316" s="415"/>
    </row>
    <row r="317" spans="1:18" x14ac:dyDescent="0.3">
      <c r="A317" s="1751"/>
      <c r="B317" s="190" t="str">
        <f>CONCATENATE("Bereken (P) x ",D317)</f>
        <v>Bereken (P) x 1,253</v>
      </c>
      <c r="C317" s="620"/>
      <c r="D317" s="619">
        <v>1.2529999999999999</v>
      </c>
      <c r="E317" s="620"/>
      <c r="F317" s="620"/>
      <c r="G317" s="620"/>
      <c r="H317" s="629"/>
      <c r="I317" s="415"/>
    </row>
    <row r="318" spans="1:18" x14ac:dyDescent="0.3">
      <c r="A318" s="1751"/>
      <c r="B318" s="1757" t="s">
        <v>435</v>
      </c>
      <c r="C318" s="630"/>
      <c r="D318" s="631"/>
      <c r="E318" s="1755" t="str">
        <f>IF(OR(C291&lt;=C294,F315="n.v.t"),"n.v.t",IF(E309="n.v.t","n.v.t",IF(C309=C295,E306-E309,E293-E309)))</f>
        <v>n.v.t</v>
      </c>
      <c r="F318" s="630"/>
      <c r="G318" s="630" t="s">
        <v>432</v>
      </c>
      <c r="H318" s="633"/>
      <c r="I318" s="415"/>
    </row>
    <row r="319" spans="1:18" ht="15" thickBot="1" x14ac:dyDescent="0.35">
      <c r="A319" s="1758"/>
      <c r="B319" s="253" t="s">
        <v>421</v>
      </c>
      <c r="C319" s="638"/>
      <c r="D319" s="639"/>
      <c r="E319" s="639"/>
      <c r="F319" s="638"/>
      <c r="G319" s="638"/>
      <c r="H319" s="640"/>
      <c r="I319" s="415"/>
    </row>
    <row r="320" spans="1:18" x14ac:dyDescent="0.3">
      <c r="A320" s="1748">
        <v>14</v>
      </c>
      <c r="B320" s="189" t="str">
        <f>CONCATENATE("Bereken (NA) x ",D320)</f>
        <v>Bereken (NA) x 1,579</v>
      </c>
      <c r="C320" s="626"/>
      <c r="D320" s="627">
        <v>1.579</v>
      </c>
      <c r="E320" s="635"/>
      <c r="F320" s="1754">
        <f>IF(D$12&gt;$C$15,IF(C291&lt;=C294,E293*D320,IF(E318="n.v.t","n.v.t",E318*D320)),IF(C291&lt;=C294,E293*D320,IF(E318="n.v.t","n.v.t",E318*D322)))</f>
        <v>0</v>
      </c>
      <c r="G320" s="626"/>
      <c r="H320" s="628"/>
      <c r="I320" s="415"/>
    </row>
    <row r="321" spans="1:11" x14ac:dyDescent="0.3">
      <c r="A321" s="1751"/>
      <c r="B321" s="1761" t="s">
        <v>439</v>
      </c>
      <c r="C321" s="620"/>
      <c r="D321" s="619"/>
      <c r="E321" s="621"/>
      <c r="F321" s="620"/>
      <c r="G321" s="620"/>
      <c r="H321" s="629"/>
      <c r="I321" s="415"/>
    </row>
    <row r="322" spans="1:11" ht="15" thickBot="1" x14ac:dyDescent="0.35">
      <c r="A322" s="1758"/>
      <c r="B322" s="191" t="str">
        <f>CONCATENATE("Bereken (NA) x ",D322)</f>
        <v>Bereken (NA) x 1,231</v>
      </c>
      <c r="C322" s="638"/>
      <c r="D322" s="639">
        <v>1.2310000000000001</v>
      </c>
      <c r="E322" s="638"/>
      <c r="F322" s="638"/>
      <c r="G322" s="638"/>
      <c r="H322" s="640"/>
      <c r="I322" s="415"/>
    </row>
    <row r="323" spans="1:11" ht="15" thickBot="1" x14ac:dyDescent="0.35">
      <c r="A323" s="259">
        <v>144</v>
      </c>
      <c r="B323" s="2127" t="s">
        <v>549</v>
      </c>
      <c r="C323" s="1924"/>
      <c r="D323" s="1924"/>
      <c r="E323" s="2145"/>
      <c r="F323" s="258">
        <f>IF(LEFT('Alimentatie 2019-2 (Juli)'!G253,2)="Ja","Zie 145/146",SUM(F293:F322))</f>
        <v>0</v>
      </c>
      <c r="G323" s="258"/>
      <c r="H323" s="260"/>
      <c r="I323" s="415"/>
    </row>
    <row r="324" spans="1:11" ht="15" thickBot="1" x14ac:dyDescent="0.35"/>
    <row r="325" spans="1:11" ht="18.600000000000001" thickBot="1" x14ac:dyDescent="0.35">
      <c r="A325" s="1595"/>
      <c r="B325" s="2139" t="s">
        <v>842</v>
      </c>
      <c r="C325" s="2140"/>
      <c r="D325" s="2140"/>
      <c r="E325" s="1596"/>
      <c r="F325" s="1596"/>
      <c r="G325" s="1596"/>
      <c r="H325" s="1597"/>
      <c r="K325" s="1475"/>
    </row>
    <row r="326" spans="1:11" ht="18.600000000000001" thickBot="1" x14ac:dyDescent="0.35">
      <c r="A326" s="1592"/>
      <c r="B326" s="1593"/>
      <c r="C326" s="1594"/>
      <c r="D326" s="1594"/>
      <c r="E326" s="1594"/>
      <c r="F326" s="1594"/>
      <c r="G326" s="1594"/>
      <c r="H326" s="1594"/>
      <c r="I326" s="1475"/>
      <c r="J326" s="1475"/>
    </row>
    <row r="327" spans="1:11" ht="15" thickBot="1" x14ac:dyDescent="0.35">
      <c r="A327" s="54">
        <v>144</v>
      </c>
      <c r="B327" s="61" t="str">
        <f>$C$4</f>
        <v>AP</v>
      </c>
      <c r="E327" s="770"/>
      <c r="F327" s="1309"/>
      <c r="G327" s="1309"/>
      <c r="H327" s="1309"/>
    </row>
    <row r="328" spans="1:11" ht="15" thickBot="1" x14ac:dyDescent="0.35">
      <c r="B328" s="249" t="s">
        <v>738</v>
      </c>
      <c r="C328" s="1762">
        <f>IF('Alimentatie 2019-2 (Juli)'!$E$104&lt;=0,0,'Alimentatie 2019-2 (Juli)'!$E$104)</f>
        <v>0</v>
      </c>
      <c r="D328" s="59"/>
      <c r="E328" s="1309"/>
      <c r="F328" s="1309"/>
      <c r="G328" s="1309"/>
      <c r="H328" s="1309"/>
    </row>
    <row r="329" spans="1:11" ht="15" thickBot="1" x14ac:dyDescent="0.35">
      <c r="A329" s="5" t="s">
        <v>417</v>
      </c>
      <c r="B329" s="261" t="s">
        <v>110</v>
      </c>
      <c r="C329" s="262" t="s">
        <v>431</v>
      </c>
      <c r="D329" s="257" t="s">
        <v>427</v>
      </c>
      <c r="E329" s="263" t="s">
        <v>433</v>
      </c>
      <c r="F329" s="6" t="s">
        <v>434</v>
      </c>
      <c r="G329" s="6" t="s">
        <v>334</v>
      </c>
      <c r="H329" s="264" t="s">
        <v>422</v>
      </c>
    </row>
    <row r="330" spans="1:11" x14ac:dyDescent="0.3">
      <c r="A330" s="1748">
        <v>1</v>
      </c>
      <c r="B330" s="1749" t="s">
        <v>430</v>
      </c>
      <c r="C330" s="616"/>
      <c r="D330" s="617"/>
      <c r="E330" s="1750">
        <f>Jusvergelijking!I14/2</f>
        <v>0</v>
      </c>
      <c r="F330" s="616"/>
      <c r="G330" s="1749" t="s">
        <v>432</v>
      </c>
      <c r="H330" s="618"/>
    </row>
    <row r="331" spans="1:11" x14ac:dyDescent="0.3">
      <c r="A331" s="1751">
        <v>2</v>
      </c>
      <c r="B331" s="190" t="s">
        <v>423</v>
      </c>
      <c r="C331" s="1752">
        <f>$M$16-1</f>
        <v>20384</v>
      </c>
      <c r="D331" s="619"/>
      <c r="E331" s="620"/>
      <c r="F331" s="621"/>
      <c r="G331" s="1506"/>
      <c r="H331" s="629">
        <v>14</v>
      </c>
    </row>
    <row r="332" spans="1:11" x14ac:dyDescent="0.3">
      <c r="A332" s="1751">
        <v>3</v>
      </c>
      <c r="B332" s="190" t="s">
        <v>424</v>
      </c>
      <c r="C332" s="1752">
        <f>$M$17-1</f>
        <v>34300</v>
      </c>
      <c r="D332" s="619"/>
      <c r="E332" s="620"/>
      <c r="F332" s="621"/>
      <c r="G332" s="1506"/>
      <c r="H332" s="629">
        <v>11</v>
      </c>
    </row>
    <row r="333" spans="1:11" ht="15" thickBot="1" x14ac:dyDescent="0.35">
      <c r="A333" s="1753">
        <v>4</v>
      </c>
      <c r="B333" s="209" t="s">
        <v>425</v>
      </c>
      <c r="C333" s="1752">
        <f>$M$18-1</f>
        <v>68507</v>
      </c>
      <c r="D333" s="622"/>
      <c r="E333" s="623"/>
      <c r="F333" s="624"/>
      <c r="G333" s="625"/>
      <c r="H333" s="637">
        <v>8</v>
      </c>
    </row>
    <row r="334" spans="1:11" x14ac:dyDescent="0.3">
      <c r="A334" s="1748">
        <v>5</v>
      </c>
      <c r="B334" s="189" t="str">
        <f>CONCATENATE("Bereken [(BI) - € ",C333,"] x ",D334)</f>
        <v>Bereken [(BI) - € 68507] x 0,483</v>
      </c>
      <c r="C334" s="626"/>
      <c r="D334" s="627">
        <v>0.48299999999999998</v>
      </c>
      <c r="E334" s="1754" t="str">
        <f>IF(C328&gt;C333,(C328-C333)*D334,"n.v.t")</f>
        <v>n.v.t</v>
      </c>
      <c r="F334" s="626"/>
      <c r="G334" s="1509" t="s">
        <v>429</v>
      </c>
      <c r="H334" s="628"/>
    </row>
    <row r="335" spans="1:11" x14ac:dyDescent="0.3">
      <c r="A335" s="1751">
        <v>6</v>
      </c>
      <c r="B335" s="190" t="str">
        <f>CONCATENATE("Is (P) groter dan (NA)? Bereken dan (NA) x ",D335)</f>
        <v>Is (P) groter dan (NA)? Bereken dan (NA) x 2,073</v>
      </c>
      <c r="C335" s="620"/>
      <c r="D335" s="619">
        <v>2.073</v>
      </c>
      <c r="E335" s="620"/>
      <c r="F335" s="1755" t="str">
        <f>IF(C328&gt;C333,IF(E334&gt;E330,E330*D335,"Kleiner"),"n.v.t")</f>
        <v>n.v.t</v>
      </c>
      <c r="G335" s="1756" t="s">
        <v>113</v>
      </c>
      <c r="H335" s="641">
        <v>15</v>
      </c>
    </row>
    <row r="336" spans="1:11" x14ac:dyDescent="0.3">
      <c r="A336" s="1751">
        <v>7</v>
      </c>
      <c r="B336" s="190" t="str">
        <f>CONCATENATE("Bereken (P) x ",D335)</f>
        <v>Bereken (P) x 2,073</v>
      </c>
      <c r="C336" s="620"/>
      <c r="D336" s="619"/>
      <c r="E336" s="620"/>
      <c r="F336" s="1755" t="str">
        <f>IF(F335="Kleiner",E334*D335,"n.v.t")</f>
        <v>n.v.t</v>
      </c>
      <c r="G336" s="1756" t="s">
        <v>113</v>
      </c>
      <c r="H336" s="629"/>
    </row>
    <row r="337" spans="1:8" x14ac:dyDescent="0.3">
      <c r="A337" s="1751"/>
      <c r="B337" s="1757" t="s">
        <v>435</v>
      </c>
      <c r="C337" s="630"/>
      <c r="D337" s="631"/>
      <c r="E337" s="1755" t="str">
        <f>IF(OR(C328&gt;C333,LEFT(F335,7)="Kleiner"),E330-E334,"n.v.t")</f>
        <v>n.v.t</v>
      </c>
      <c r="F337" s="632"/>
      <c r="G337" s="630" t="s">
        <v>432</v>
      </c>
      <c r="H337" s="633"/>
    </row>
    <row r="338" spans="1:8" x14ac:dyDescent="0.3">
      <c r="A338" s="1751"/>
      <c r="B338" s="252" t="s">
        <v>436</v>
      </c>
      <c r="C338" s="620"/>
      <c r="D338" s="619"/>
      <c r="E338" s="621"/>
      <c r="F338" s="621"/>
      <c r="G338" s="620"/>
      <c r="H338" s="629"/>
    </row>
    <row r="339" spans="1:8" ht="16.8" thickBot="1" x14ac:dyDescent="0.35">
      <c r="A339" s="1758"/>
      <c r="B339" s="253" t="str">
        <f>CONCATENATE("(BI) stellen we nu op € ",C333)</f>
        <v>(BI) stellen we nu op € 68507</v>
      </c>
      <c r="C339" s="1759" t="s">
        <v>437</v>
      </c>
      <c r="D339" s="634"/>
      <c r="E339" s="1507"/>
      <c r="F339" s="1507"/>
      <c r="G339" s="1507"/>
      <c r="H339" s="1508"/>
    </row>
    <row r="340" spans="1:8" x14ac:dyDescent="0.3">
      <c r="A340" s="1748">
        <v>8</v>
      </c>
      <c r="B340" s="189" t="str">
        <f>CONCATENATE("Bereken [(BI) - € ",C332,"] x ",D340)</f>
        <v>Bereken [(BI) - € 34300] x 0,619</v>
      </c>
      <c r="C340" s="1750">
        <f>IF(F335="n.v.t",0,IF(LEFT(F335,7)="Kleiner",C333,0))</f>
        <v>0</v>
      </c>
      <c r="D340" s="627">
        <v>0.61899999999999999</v>
      </c>
      <c r="E340" s="1754" t="str">
        <f>IF(C340=C333,(C333-C332)*D340,IF(AND(C328&lt;=C333,C328&gt;C332),(C328-C332)*D340,"n.v.t"))</f>
        <v>n.v.t</v>
      </c>
      <c r="F340" s="635"/>
      <c r="G340" s="626" t="s">
        <v>429</v>
      </c>
      <c r="H340" s="628"/>
    </row>
    <row r="341" spans="1:8" x14ac:dyDescent="0.3">
      <c r="A341" s="1751">
        <v>9</v>
      </c>
      <c r="B341" s="190" t="str">
        <f>CONCATENATE("Is (P) groter dan (NA) bereken dan (NA) x ",D341)</f>
        <v>Is (P) groter dan (NA) bereken dan (NA) x 1,616</v>
      </c>
      <c r="C341" s="620"/>
      <c r="D341" s="619">
        <v>1.6160000000000001</v>
      </c>
      <c r="E341" s="621"/>
      <c r="F341" s="1755" t="str">
        <f>IF(C328&lt;=C332,"n.v.t",IF(AND(C340=C333,E340&gt;E337),E337*D340,IF(AND(C340=0,E340&gt;E330),E330*D341,"Kleiner")))</f>
        <v>n.v.t</v>
      </c>
      <c r="G341" s="1756" t="s">
        <v>113</v>
      </c>
      <c r="H341" s="629">
        <v>15</v>
      </c>
    </row>
    <row r="342" spans="1:8" x14ac:dyDescent="0.3">
      <c r="A342" s="1751">
        <v>10</v>
      </c>
      <c r="B342" s="190" t="str">
        <f>CONCATENATE("Bereken (P) x ",D341)</f>
        <v>Bereken (P) x 1,616</v>
      </c>
      <c r="C342" s="636"/>
      <c r="D342" s="636"/>
      <c r="E342" s="620"/>
      <c r="F342" s="1755" t="str">
        <f>IF(F341="Kleiner",E340*D341,"n.v.t")</f>
        <v>n.v.t</v>
      </c>
      <c r="G342" s="1756" t="s">
        <v>113</v>
      </c>
      <c r="H342" s="629"/>
    </row>
    <row r="343" spans="1:8" x14ac:dyDescent="0.3">
      <c r="A343" s="1751"/>
      <c r="B343" s="1757" t="s">
        <v>435</v>
      </c>
      <c r="C343" s="630"/>
      <c r="D343" s="631"/>
      <c r="E343" s="1755" t="str">
        <f>IF(AND(C340=C333,F341="Kleiner"),(E337-E340),IF(AND(C328&lt;=C333,C328&gt;C332,F341="Kleiner"),E330-E340,"n.v.t"))</f>
        <v>n.v.t</v>
      </c>
      <c r="F343" s="632"/>
      <c r="G343" s="630" t="s">
        <v>432</v>
      </c>
      <c r="H343" s="633"/>
    </row>
    <row r="344" spans="1:8" x14ac:dyDescent="0.3">
      <c r="A344" s="1751"/>
      <c r="B344" s="252" t="s">
        <v>418</v>
      </c>
      <c r="C344" s="620"/>
      <c r="D344" s="619"/>
      <c r="E344" s="621"/>
      <c r="F344" s="621"/>
      <c r="G344" s="620"/>
      <c r="H344" s="629"/>
    </row>
    <row r="345" spans="1:8" ht="16.8" thickBot="1" x14ac:dyDescent="0.35">
      <c r="A345" s="1753"/>
      <c r="B345" s="256" t="s">
        <v>419</v>
      </c>
      <c r="C345" s="1760" t="s">
        <v>437</v>
      </c>
      <c r="D345" s="622"/>
      <c r="E345" s="624"/>
      <c r="F345" s="624"/>
      <c r="G345" s="623"/>
      <c r="H345" s="637"/>
    </row>
    <row r="346" spans="1:8" x14ac:dyDescent="0.3">
      <c r="A346" s="1748">
        <v>11</v>
      </c>
      <c r="B346" s="189" t="str">
        <f>CONCATENATE("Bereken [(BI) - ",C331," x ",D346)</f>
        <v>Bereken [(BI) - 20384 x 0,619</v>
      </c>
      <c r="C346" s="1750">
        <f>IF(F341="n.v.t",0,IF(LEFT(F341,7)="Kleiner",C332,0))</f>
        <v>0</v>
      </c>
      <c r="D346" s="627">
        <v>0.61899999999999999</v>
      </c>
      <c r="E346" s="1754" t="str">
        <f>IF(D$11&gt;$C$15,IF(C346=C332,(C332-C331)*D346,IF(AND(C328&lt;=C332,C328&gt;C331),(C328-C331)*D346,"n.v.t")),IF(C346=C332,(C332-C331)*D348,IF(AND(C328&lt;=C332,C328&gt;C331),(C328-C331)*D348,"n.v.t")))</f>
        <v>n.v.t</v>
      </c>
      <c r="F346" s="635"/>
      <c r="G346" s="626" t="s">
        <v>429</v>
      </c>
      <c r="H346" s="628"/>
    </row>
    <row r="347" spans="1:8" x14ac:dyDescent="0.3">
      <c r="A347" s="1751"/>
      <c r="B347" s="190" t="s">
        <v>420</v>
      </c>
      <c r="C347" s="620"/>
      <c r="D347" s="619"/>
      <c r="E347" s="621"/>
      <c r="F347" s="621"/>
      <c r="G347" s="620"/>
      <c r="H347" s="629"/>
    </row>
    <row r="348" spans="1:8" x14ac:dyDescent="0.3">
      <c r="A348" s="1751"/>
      <c r="B348" s="190" t="str">
        <f>CONCATENATE("Bereken [(BI) - ",C331," x ",D348)</f>
        <v>Bereken [(BI) - 20384 x 0,798</v>
      </c>
      <c r="C348" s="620"/>
      <c r="D348" s="619">
        <v>0.79800000000000004</v>
      </c>
      <c r="E348" s="1506"/>
      <c r="F348" s="1506"/>
      <c r="G348" s="620" t="s">
        <v>429</v>
      </c>
      <c r="H348" s="629"/>
    </row>
    <row r="349" spans="1:8" x14ac:dyDescent="0.3">
      <c r="A349" s="1751">
        <v>12</v>
      </c>
      <c r="B349" s="190" t="str">
        <f>CONCATENATE("Is (P) groter dan (NA) bereken dan (NA) x ",D349)</f>
        <v>Is (P) groter dan (NA) bereken dan (NA) x 1,616</v>
      </c>
      <c r="C349" s="620"/>
      <c r="D349" s="619">
        <v>1.6160000000000001</v>
      </c>
      <c r="E349" s="621"/>
      <c r="F349" s="1755" t="str">
        <f>IF(D$12&gt;$C$15,IF(OR(C328&lt;=C331,E346="n.v.t"),"n.v.t",IF(AND(C346=C332,E346&gt;E343),E343*D349,IF(AND(C346=0,E346&gt;E330),E330*D346,"Kleiner"))),IF(OR(C328&lt;=C331,E346="n.v.t"),"n.v.t",IF(AND(C346=C332,E346&gt;E343),E343*D351,IF(AND(C346=0,E346&gt;E330),E330*D348,"Kleiner"))))</f>
        <v>n.v.t</v>
      </c>
      <c r="G349" s="1756" t="s">
        <v>113</v>
      </c>
      <c r="H349" s="629"/>
    </row>
    <row r="350" spans="1:8" x14ac:dyDescent="0.3">
      <c r="A350" s="1751"/>
      <c r="B350" s="190" t="s">
        <v>438</v>
      </c>
      <c r="C350" s="620"/>
      <c r="D350" s="619"/>
      <c r="E350" s="621"/>
      <c r="F350" s="254"/>
      <c r="G350" s="255"/>
      <c r="H350" s="629"/>
    </row>
    <row r="351" spans="1:8" x14ac:dyDescent="0.3">
      <c r="A351" s="1751"/>
      <c r="B351" s="190" t="str">
        <f>CONCATENATE("Bereken dan (NA) x ",D351)</f>
        <v>Bereken dan (NA) x 1,253</v>
      </c>
      <c r="C351" s="620"/>
      <c r="D351" s="619">
        <v>1.2529999999999999</v>
      </c>
      <c r="E351" s="621"/>
      <c r="F351" s="621"/>
      <c r="G351" s="620"/>
      <c r="H351" s="629"/>
    </row>
    <row r="352" spans="1:8" x14ac:dyDescent="0.3">
      <c r="A352" s="1751">
        <v>13</v>
      </c>
      <c r="B352" s="190" t="str">
        <f>CONCATENATE("Bereken (P) x ",D349)</f>
        <v>Bereken (P) x 1,616</v>
      </c>
      <c r="C352" s="620"/>
      <c r="D352" s="619">
        <v>1.6160000000000001</v>
      </c>
      <c r="E352" s="1506"/>
      <c r="F352" s="1755" t="str">
        <f>IF(D$12&gt;$C$15,IF(OR(C328&lt;=C331,E346="n.v.t"),"n.v.t",IF(F349="Kleiner",E346*D352,"n.v.t")),IF(OR(C328&lt;=C331,E346="n.v.t"),"n.v.t",IF(F349="Kleiner",E346*D354,"n.v.t")))</f>
        <v>n.v.t</v>
      </c>
      <c r="G352" s="620"/>
      <c r="H352" s="629"/>
    </row>
    <row r="353" spans="1:8" x14ac:dyDescent="0.3">
      <c r="A353" s="1751"/>
      <c r="B353" s="1761" t="s">
        <v>439</v>
      </c>
      <c r="C353" s="620"/>
      <c r="D353" s="619"/>
      <c r="E353" s="621"/>
      <c r="F353" s="620"/>
      <c r="G353" s="620"/>
      <c r="H353" s="629"/>
    </row>
    <row r="354" spans="1:8" x14ac:dyDescent="0.3">
      <c r="A354" s="1751"/>
      <c r="B354" s="190" t="str">
        <f>CONCATENATE("Bereken (P) x ",D354)</f>
        <v>Bereken (P) x 1,253</v>
      </c>
      <c r="C354" s="620"/>
      <c r="D354" s="619">
        <v>1.2529999999999999</v>
      </c>
      <c r="E354" s="620"/>
      <c r="F354" s="620"/>
      <c r="G354" s="620"/>
      <c r="H354" s="629"/>
    </row>
    <row r="355" spans="1:8" x14ac:dyDescent="0.3">
      <c r="A355" s="1751"/>
      <c r="B355" s="1757" t="s">
        <v>435</v>
      </c>
      <c r="C355" s="630"/>
      <c r="D355" s="631"/>
      <c r="E355" s="1755" t="str">
        <f>IF(OR(C328&lt;=C331,F352="n.v.t"),"n.v.t",IF(E346="n.v.t","n.v.t",IF(C346=C332,E343-E346,E330-E346)))</f>
        <v>n.v.t</v>
      </c>
      <c r="F355" s="630"/>
      <c r="G355" s="630" t="s">
        <v>432</v>
      </c>
      <c r="H355" s="633"/>
    </row>
    <row r="356" spans="1:8" ht="15" thickBot="1" x14ac:dyDescent="0.35">
      <c r="A356" s="1758"/>
      <c r="B356" s="253" t="s">
        <v>421</v>
      </c>
      <c r="C356" s="638"/>
      <c r="D356" s="639"/>
      <c r="E356" s="639"/>
      <c r="F356" s="638"/>
      <c r="G356" s="638"/>
      <c r="H356" s="640"/>
    </row>
    <row r="357" spans="1:8" x14ac:dyDescent="0.3">
      <c r="A357" s="1748">
        <v>14</v>
      </c>
      <c r="B357" s="189" t="str">
        <f>CONCATENATE("Bereken (NA) x ",D357)</f>
        <v>Bereken (NA) x 1,579</v>
      </c>
      <c r="C357" s="626"/>
      <c r="D357" s="627">
        <v>1.579</v>
      </c>
      <c r="E357" s="635"/>
      <c r="F357" s="1754">
        <f>IF(D$12&gt;$C$15,IF(C328&lt;=C331,E330*D357,IF(E355="n.v.t","n.v.t",E355*D357)),IF(C328&lt;=C331,E330*D357,IF(E355="n.v.t","n.v.t",E355*D359)))</f>
        <v>0</v>
      </c>
      <c r="G357" s="626"/>
      <c r="H357" s="628"/>
    </row>
    <row r="358" spans="1:8" x14ac:dyDescent="0.3">
      <c r="A358" s="1751"/>
      <c r="B358" s="1761" t="s">
        <v>439</v>
      </c>
      <c r="C358" s="620"/>
      <c r="D358" s="619"/>
      <c r="E358" s="621"/>
      <c r="F358" s="620"/>
      <c r="G358" s="620"/>
      <c r="H358" s="629"/>
    </row>
    <row r="359" spans="1:8" ht="15" thickBot="1" x14ac:dyDescent="0.35">
      <c r="A359" s="1758"/>
      <c r="B359" s="191" t="str">
        <f>CONCATENATE("Bereken (NA) x ",D359)</f>
        <v>Bereken (NA) x 1,231</v>
      </c>
      <c r="C359" s="638"/>
      <c r="D359" s="639">
        <v>1.2310000000000001</v>
      </c>
      <c r="E359" s="638"/>
      <c r="F359" s="638"/>
      <c r="G359" s="638"/>
      <c r="H359" s="640"/>
    </row>
    <row r="360" spans="1:8" ht="15" thickBot="1" x14ac:dyDescent="0.35">
      <c r="A360" s="259">
        <v>144</v>
      </c>
      <c r="B360" s="2127" t="s">
        <v>549</v>
      </c>
      <c r="C360" s="1924"/>
      <c r="D360" s="1924"/>
      <c r="E360" s="2128"/>
      <c r="F360" s="1591">
        <f>IF(LEFT('Alimentatie 2019-2 (Juli)'!G289,2)="Ja","Zie 145/146",SUM(F330:F359))</f>
        <v>0</v>
      </c>
      <c r="G360" s="258"/>
      <c r="H360" s="260"/>
    </row>
    <row r="361" spans="1:8" ht="15" thickBot="1" x14ac:dyDescent="0.35">
      <c r="E361" s="1598" t="s">
        <v>843</v>
      </c>
      <c r="F361" s="1599">
        <f>F360*0.08</f>
        <v>0</v>
      </c>
    </row>
    <row r="362" spans="1:8" ht="15" thickBot="1" x14ac:dyDescent="0.35">
      <c r="E362" s="1474" t="s">
        <v>841</v>
      </c>
      <c r="F362" s="1412">
        <f>SUM(F360:F361)</f>
        <v>0</v>
      </c>
    </row>
    <row r="409" spans="12:18" x14ac:dyDescent="0.3">
      <c r="L409" s="54"/>
      <c r="R409" s="2"/>
    </row>
    <row r="410" spans="12:18" x14ac:dyDescent="0.3">
      <c r="L410" s="54"/>
      <c r="R410" s="2"/>
    </row>
    <row r="538" spans="19:19" x14ac:dyDescent="0.3">
      <c r="S538" s="270"/>
    </row>
    <row r="712" spans="21:23" x14ac:dyDescent="0.3">
      <c r="U712" s="1475"/>
      <c r="V712" s="1475"/>
      <c r="W712" s="1475"/>
    </row>
    <row r="713" spans="21:23" x14ac:dyDescent="0.3">
      <c r="U713" s="1475"/>
      <c r="V713" s="1475"/>
      <c r="W713" s="1475"/>
    </row>
    <row r="714" spans="21:23" x14ac:dyDescent="0.3">
      <c r="U714" s="1475"/>
      <c r="V714" s="1475"/>
      <c r="W714" s="1475"/>
    </row>
    <row r="715" spans="21:23" x14ac:dyDescent="0.3">
      <c r="U715" s="1475"/>
      <c r="V715" s="1475"/>
      <c r="W715" s="1475"/>
    </row>
    <row r="716" spans="21:23" x14ac:dyDescent="0.3">
      <c r="U716" s="1475"/>
      <c r="V716" s="1475"/>
      <c r="W716" s="1475"/>
    </row>
    <row r="717" spans="21:23" x14ac:dyDescent="0.3">
      <c r="U717" s="1475"/>
      <c r="V717" s="1475"/>
      <c r="W717" s="1475"/>
    </row>
    <row r="718" spans="21:23" x14ac:dyDescent="0.3">
      <c r="U718" s="1475"/>
      <c r="V718" s="1475"/>
      <c r="W718" s="1475"/>
    </row>
    <row r="719" spans="21:23" x14ac:dyDescent="0.3">
      <c r="U719" s="1475"/>
      <c r="V719" s="1475"/>
      <c r="W719" s="1475"/>
    </row>
    <row r="720" spans="21:23" x14ac:dyDescent="0.3">
      <c r="U720" s="1475"/>
      <c r="V720" s="1475"/>
      <c r="W720" s="1475"/>
    </row>
    <row r="721" spans="21:23" x14ac:dyDescent="0.3">
      <c r="U721" s="1475"/>
      <c r="V721" s="1475"/>
      <c r="W721" s="1475"/>
    </row>
    <row r="722" spans="21:23" x14ac:dyDescent="0.3">
      <c r="U722" s="1475"/>
      <c r="V722" s="1475"/>
      <c r="W722" s="1475"/>
    </row>
    <row r="723" spans="21:23" x14ac:dyDescent="0.3">
      <c r="U723" s="1475"/>
      <c r="V723" s="1475"/>
      <c r="W723" s="1475"/>
    </row>
    <row r="724" spans="21:23" x14ac:dyDescent="0.3">
      <c r="U724" s="1475"/>
      <c r="V724" s="1475"/>
      <c r="W724" s="1475"/>
    </row>
    <row r="725" spans="21:23" x14ac:dyDescent="0.3">
      <c r="U725" s="1475"/>
      <c r="V725" s="1475"/>
      <c r="W725" s="1475"/>
    </row>
    <row r="726" spans="21:23" x14ac:dyDescent="0.3">
      <c r="U726" s="1475"/>
      <c r="V726" s="1475"/>
      <c r="W726" s="1475"/>
    </row>
    <row r="727" spans="21:23" x14ac:dyDescent="0.3">
      <c r="U727" s="1475"/>
      <c r="V727" s="1475"/>
      <c r="W727" s="1475"/>
    </row>
    <row r="728" spans="21:23" x14ac:dyDescent="0.3">
      <c r="U728" s="1475"/>
      <c r="V728" s="1475"/>
      <c r="W728" s="1475"/>
    </row>
    <row r="729" spans="21:23" x14ac:dyDescent="0.3">
      <c r="U729" s="1475"/>
      <c r="V729" s="1475"/>
      <c r="W729" s="1475"/>
    </row>
    <row r="730" spans="21:23" x14ac:dyDescent="0.3">
      <c r="U730" s="1475"/>
      <c r="V730" s="1475"/>
      <c r="W730" s="1475"/>
    </row>
    <row r="731" spans="21:23" x14ac:dyDescent="0.3">
      <c r="U731" s="1475"/>
      <c r="V731" s="1475"/>
      <c r="W731" s="1475"/>
    </row>
    <row r="732" spans="21:23" x14ac:dyDescent="0.3">
      <c r="U732" s="1475"/>
      <c r="V732" s="1475"/>
      <c r="W732" s="1475"/>
    </row>
    <row r="733" spans="21:23" x14ac:dyDescent="0.3">
      <c r="U733" s="1475"/>
      <c r="V733" s="1475"/>
      <c r="W733" s="1475"/>
    </row>
    <row r="734" spans="21:23" x14ac:dyDescent="0.3">
      <c r="U734" s="1475"/>
      <c r="V734" s="1475"/>
      <c r="W734" s="1475"/>
    </row>
    <row r="735" spans="21:23" x14ac:dyDescent="0.3">
      <c r="U735" s="1475"/>
      <c r="V735" s="1475"/>
      <c r="W735" s="1475"/>
    </row>
    <row r="736" spans="21:23" x14ac:dyDescent="0.3">
      <c r="U736" s="1475"/>
      <c r="V736" s="1475"/>
      <c r="W736" s="1475"/>
    </row>
    <row r="737" spans="12:23" x14ac:dyDescent="0.3">
      <c r="L737" s="1475"/>
      <c r="S737" s="1475"/>
      <c r="T737" s="1475"/>
      <c r="U737" s="1475"/>
      <c r="V737" s="1475"/>
      <c r="W737" s="1475"/>
    </row>
  </sheetData>
  <sheetProtection algorithmName="SHA-512" hashValue="uCmrvlU6MhpG8TM4TEQeo+6k92kUM5y9QM01VeERakosKx7TLsxDxaCn/Uj6A9B/VRKyB25nnbVI3kO2rCXm2A==" saltValue="wnPr8EkhAnbvwdqvjDnWjg==" spinCount="100000" sheet="1" objects="1" scenarios="1"/>
  <protectedRanges>
    <protectedRange sqref="D94:E95" name="AP AG 71 ZelfstAftrek"/>
    <protectedRange sqref="C81" name="AP 49 58 Premies_1"/>
    <protectedRange sqref="E81" name="AG 60 Verz.Ink"/>
    <protectedRange sqref="C81" name="AP 60 Verz.Ink"/>
    <protectedRange sqref="C86" name="AP Maand regel 81"/>
    <protectedRange sqref="C46" name="AP 45 Maand"/>
    <protectedRange sqref="C7:D9 C32 E32" name="AP AG Inkomsten DEF"/>
    <protectedRange sqref="Q80:R80" name="AP AG 115 Alleenstaande korting"/>
    <protectedRange sqref="C229:D229" name="AP AG eerder KGB"/>
    <protectedRange sqref="B201:G212" name="AP AG Gegevens kinderen"/>
    <protectedRange sqref="C194:D194" name="AP AG 124 Eigen risico"/>
    <protectedRange sqref="C191:D192" name="AP AG 124AB ZKV"/>
    <protectedRange sqref="C163:D164" name="AP AG 123 Huur toeslag"/>
    <protectedRange sqref="C48:C49" name="AP 42 AOW"/>
    <protectedRange sqref="C51" name="AP 42 AOW Pensioen"/>
    <protectedRange sqref="C60" name="AP 43 Soc uitkering Pensioen"/>
    <protectedRange sqref="C57" name="AP 43 Soc uitkering"/>
    <protectedRange sqref="C65:C66" name="AP 50 Uitkering"/>
    <protectedRange sqref="C71:C78" name="AP 49 58 Premies"/>
    <protectedRange sqref="C88:C89" name="AP Bijtelling auto"/>
    <protectedRange sqref="D105:E109" name="AP AG 73 Meewerkaftrek"/>
    <protectedRange sqref="G128:G133" name="AG 82 84 Eigen woning AP"/>
    <protectedRange sqref="F128" name="AG Nieuwe partner"/>
    <protectedRange sqref="C121" name="AP 84 Eigen woning Erfpacht"/>
    <protectedRange sqref="C116:C119" name="AP 82 83 Eigen woning AP"/>
    <protectedRange sqref="E139:E140" name="AG 119a Bijstand"/>
    <protectedRange sqref="E137" name="AG 119a Maandkeuze"/>
    <protectedRange sqref="E86" name="AG Auto Maandkeuze"/>
    <protectedRange sqref="E63" name="AG 50 Maandkeuze"/>
    <protectedRange sqref="E55" name="AG 43 Maandkeuze"/>
    <protectedRange sqref="E46" name="AG 42 Maandkeuze"/>
    <protectedRange sqref="D43" name="AP 45 Berekend loon"/>
    <protectedRange sqref="C39:C40" name="AP 45 Bouwloon"/>
    <protectedRange sqref="C30:C31 C33:C34" name="AP 41 Extra loon"/>
    <protectedRange sqref="C26:C28" name="AP 41 Loon"/>
    <protectedRange sqref="C24" name="AP 41 Maandkeuze"/>
    <protectedRange sqref="C15" name="AP AG Berekeningsdatum"/>
    <protectedRange sqref="C4:D5" name="AP AG Naam Geboren"/>
    <protectedRange sqref="C19:C20" name="AP AG Eerder jaar"/>
    <protectedRange sqref="E24" name="AG 41 Maandkeuze"/>
    <protectedRange sqref="E26:E28" name="AG 41 Loon"/>
    <protectedRange sqref="E30:E31 E33:E34" name="AG 41 Extra loon"/>
    <protectedRange sqref="E39:E40" name="AG 45 Bouwloon"/>
    <protectedRange sqref="F43" name="AG 45 Berekend loon"/>
    <protectedRange sqref="C46" name="AP 42 Maandkeuze"/>
    <protectedRange sqref="C55" name="AP 43 Maandkeuze"/>
    <protectedRange sqref="C63" name="AP 50 Maandkeuze"/>
    <protectedRange sqref="C86" name="AP Auto Maandkeuze"/>
    <protectedRange sqref="C137" name="AP 119a Maandkeuze"/>
    <protectedRange sqref="C139:C140" name="AP 119a Bijstand"/>
    <protectedRange sqref="C128:C131" name="AG 82 83 Eigen woning AG"/>
    <protectedRange sqref="C133" name="AG 84 Eigen woning Erfpacht"/>
    <protectedRange sqref="F116" name="AP Nieuwe partner"/>
    <protectedRange sqref="G116:G121" name="AP 82 84 Eigen woning AG"/>
    <protectedRange sqref="D99:E100" name="AP AG 72 Ondernemersaftrek"/>
    <protectedRange sqref="E88:E89" name="AG Bijtelling auto"/>
    <protectedRange sqref="E71:E78" name="AG 49 58 Premies"/>
    <protectedRange sqref="E65:E66" name="AG 50 Uitkering"/>
    <protectedRange sqref="E57" name="AG 43 Soc uitkering"/>
    <protectedRange sqref="E60" name="AG 43 Soc uitkering Pensioen"/>
    <protectedRange sqref="E51" name="AG 42 AOW Pensioen"/>
    <protectedRange sqref="E48:E49" name="AG 42 AOW"/>
    <protectedRange sqref="C196:D196" name="AP AG 124 Zorgtoeslag"/>
    <protectedRange sqref="C226:D227" name="AP AG KGB Oppaskosten"/>
    <protectedRange sqref="C230" name="AP AG NBI maximaliseren"/>
    <protectedRange sqref="Q96:R96" name="AP AG 115 Combi korting"/>
    <protectedRange sqref="C155:D155" name="AP AG 137 Draagkracht"/>
    <protectedRange sqref="E24" name="AG Maand regel 23"/>
    <protectedRange sqref="E46" name="AG Maand regel 45"/>
    <protectedRange sqref="E55" name="AG Maand regel 54"/>
    <protectedRange sqref="E63" name="AG Maand regel 62"/>
  </protectedRanges>
  <sortState xmlns:xlrd2="http://schemas.microsoft.com/office/spreadsheetml/2017/richdata2" ref="E198:E205">
    <sortCondition ref="E50:E57"/>
  </sortState>
  <mergeCells count="227">
    <mergeCell ref="AI90:AJ90"/>
    <mergeCell ref="T124:U124"/>
    <mergeCell ref="T125:U125"/>
    <mergeCell ref="V44:V46"/>
    <mergeCell ref="W44:W46"/>
    <mergeCell ref="W115:W116"/>
    <mergeCell ref="G48:J48"/>
    <mergeCell ref="G49:J49"/>
    <mergeCell ref="G56:J56"/>
    <mergeCell ref="G57:J57"/>
    <mergeCell ref="O116:P116"/>
    <mergeCell ref="W124:W125"/>
    <mergeCell ref="G77:J77"/>
    <mergeCell ref="G78:J78"/>
    <mergeCell ref="G71:J71"/>
    <mergeCell ref="G64:J64"/>
    <mergeCell ref="M82:S82"/>
    <mergeCell ref="M80:P80"/>
    <mergeCell ref="M81:S81"/>
    <mergeCell ref="M83:S83"/>
    <mergeCell ref="M84:S84"/>
    <mergeCell ref="O78:P78"/>
    <mergeCell ref="G81:J81"/>
    <mergeCell ref="G72:J72"/>
    <mergeCell ref="B323:E323"/>
    <mergeCell ref="F226:I227"/>
    <mergeCell ref="F222:I222"/>
    <mergeCell ref="M105:P105"/>
    <mergeCell ref="M96:P96"/>
    <mergeCell ref="M87:S87"/>
    <mergeCell ref="E112:G112"/>
    <mergeCell ref="O194:P194"/>
    <mergeCell ref="B242:E242"/>
    <mergeCell ref="B244:E244"/>
    <mergeCell ref="B250:E250"/>
    <mergeCell ref="M113:P113"/>
    <mergeCell ref="B248:E248"/>
    <mergeCell ref="B243:H243"/>
    <mergeCell ref="B238:E238"/>
    <mergeCell ref="B240:E240"/>
    <mergeCell ref="B241:E241"/>
    <mergeCell ref="B235:H235"/>
    <mergeCell ref="F160:J160"/>
    <mergeCell ref="B249:E249"/>
    <mergeCell ref="C216:D216"/>
    <mergeCell ref="B287:E287"/>
    <mergeCell ref="B239:H239"/>
    <mergeCell ref="B246:E246"/>
    <mergeCell ref="B120:C120"/>
    <mergeCell ref="R10:S10"/>
    <mergeCell ref="B360:E360"/>
    <mergeCell ref="E12:J12"/>
    <mergeCell ref="U23:U24"/>
    <mergeCell ref="U36:U37"/>
    <mergeCell ref="T44:T46"/>
    <mergeCell ref="U44:U46"/>
    <mergeCell ref="G139:J139"/>
    <mergeCell ref="G140:J140"/>
    <mergeCell ref="F162:J162"/>
    <mergeCell ref="E190:J190"/>
    <mergeCell ref="E193:J193"/>
    <mergeCell ref="E191:J191"/>
    <mergeCell ref="E192:J192"/>
    <mergeCell ref="E194:J194"/>
    <mergeCell ref="E195:J195"/>
    <mergeCell ref="T36:T37"/>
    <mergeCell ref="U13:U14"/>
    <mergeCell ref="C42:J42"/>
    <mergeCell ref="B110:C110"/>
    <mergeCell ref="B325:D325"/>
    <mergeCell ref="M172:M173"/>
    <mergeCell ref="N172:N173"/>
    <mergeCell ref="E3:J3"/>
    <mergeCell ref="G25:J25"/>
    <mergeCell ref="G26:J26"/>
    <mergeCell ref="G27:J27"/>
    <mergeCell ref="E4:J4"/>
    <mergeCell ref="E9:F9"/>
    <mergeCell ref="G9:J9"/>
    <mergeCell ref="E11:J11"/>
    <mergeCell ref="D14:J14"/>
    <mergeCell ref="D15:J15"/>
    <mergeCell ref="D16:J16"/>
    <mergeCell ref="D18:J18"/>
    <mergeCell ref="D19:J19"/>
    <mergeCell ref="E5:J5"/>
    <mergeCell ref="E6:J6"/>
    <mergeCell ref="D230:J230"/>
    <mergeCell ref="B251:E251"/>
    <mergeCell ref="G43:J43"/>
    <mergeCell ref="G39:J41"/>
    <mergeCell ref="G65:J65"/>
    <mergeCell ref="G58:J58"/>
    <mergeCell ref="M159:P159"/>
    <mergeCell ref="G38:J38"/>
    <mergeCell ref="O77:P77"/>
    <mergeCell ref="M168:P168"/>
    <mergeCell ref="G76:J76"/>
    <mergeCell ref="F163:J163"/>
    <mergeCell ref="F165:J165"/>
    <mergeCell ref="M160:R160"/>
    <mergeCell ref="G47:J47"/>
    <mergeCell ref="F117:F121"/>
    <mergeCell ref="G66:J66"/>
    <mergeCell ref="G87:J87"/>
    <mergeCell ref="G88:J88"/>
    <mergeCell ref="G89:J89"/>
    <mergeCell ref="G138:J138"/>
    <mergeCell ref="F215:F217"/>
    <mergeCell ref="F199:F200"/>
    <mergeCell ref="G82:J83"/>
    <mergeCell ref="B101:C101"/>
    <mergeCell ref="B233:E233"/>
    <mergeCell ref="B236:E236"/>
    <mergeCell ref="B234:H234"/>
    <mergeCell ref="B237:E237"/>
    <mergeCell ref="B247:H247"/>
    <mergeCell ref="P4:Q4"/>
    <mergeCell ref="P5:Q5"/>
    <mergeCell ref="L5:M5"/>
    <mergeCell ref="F196:J196"/>
    <mergeCell ref="N7:P7"/>
    <mergeCell ref="N8:P8"/>
    <mergeCell ref="O73:P73"/>
    <mergeCell ref="G51:J51"/>
    <mergeCell ref="G52:J52"/>
    <mergeCell ref="O163:P163"/>
    <mergeCell ref="O79:P79"/>
    <mergeCell ref="L4:M4"/>
    <mergeCell ref="O76:P76"/>
    <mergeCell ref="B245:E245"/>
    <mergeCell ref="D20:J20"/>
    <mergeCell ref="N10:P10"/>
    <mergeCell ref="F105:J109"/>
    <mergeCell ref="F99:J99"/>
    <mergeCell ref="C199:D199"/>
    <mergeCell ref="X1:Y1"/>
    <mergeCell ref="X23:X24"/>
    <mergeCell ref="Y23:Y24"/>
    <mergeCell ref="T133:U133"/>
    <mergeCell ref="X36:X37"/>
    <mergeCell ref="Y36:Y37"/>
    <mergeCell ref="X44:X46"/>
    <mergeCell ref="Y44:Y46"/>
    <mergeCell ref="X13:X14"/>
    <mergeCell ref="Y13:Y14"/>
    <mergeCell ref="X5:X6"/>
    <mergeCell ref="Y5:Y6"/>
    <mergeCell ref="X2:Y2"/>
    <mergeCell ref="T99:U99"/>
    <mergeCell ref="T108:U108"/>
    <mergeCell ref="X115:X116"/>
    <mergeCell ref="X124:X125"/>
    <mergeCell ref="U5:U6"/>
    <mergeCell ref="V1:W1"/>
    <mergeCell ref="V23:V24"/>
    <mergeCell ref="W23:W24"/>
    <mergeCell ref="V36:V37"/>
    <mergeCell ref="W36:W37"/>
    <mergeCell ref="V5:V6"/>
    <mergeCell ref="I199:J199"/>
    <mergeCell ref="M130:P130"/>
    <mergeCell ref="M131:R131"/>
    <mergeCell ref="M151:P151"/>
    <mergeCell ref="O154:P154"/>
    <mergeCell ref="O172:O173"/>
    <mergeCell ref="B132:C132"/>
    <mergeCell ref="F166:J166"/>
    <mergeCell ref="F167:J167"/>
    <mergeCell ref="N184:N185"/>
    <mergeCell ref="O184:O185"/>
    <mergeCell ref="O134:P134"/>
    <mergeCell ref="M169:S169"/>
    <mergeCell ref="M122:R122"/>
    <mergeCell ref="G164:J164"/>
    <mergeCell ref="F161:J161"/>
    <mergeCell ref="F104:J104"/>
    <mergeCell ref="G125:G127"/>
    <mergeCell ref="T5:T6"/>
    <mergeCell ref="E113:E115"/>
    <mergeCell ref="T153:U153"/>
    <mergeCell ref="G28:J28"/>
    <mergeCell ref="G29:J29"/>
    <mergeCell ref="L3:M3"/>
    <mergeCell ref="F129:F133"/>
    <mergeCell ref="T13:T14"/>
    <mergeCell ref="T115:U115"/>
    <mergeCell ref="F100:J100"/>
    <mergeCell ref="O42:P42"/>
    <mergeCell ref="O29:P29"/>
    <mergeCell ref="G84:J85"/>
    <mergeCell ref="W5:W6"/>
    <mergeCell ref="V13:V14"/>
    <mergeCell ref="W13:W14"/>
    <mergeCell ref="T23:T24"/>
    <mergeCell ref="O19:P19"/>
    <mergeCell ref="N9:P9"/>
    <mergeCell ref="R6:S6"/>
    <mergeCell ref="P3:Q3"/>
    <mergeCell ref="F98:J98"/>
    <mergeCell ref="F93:J93"/>
    <mergeCell ref="F94:J94"/>
    <mergeCell ref="F95:J95"/>
    <mergeCell ref="F113:F115"/>
    <mergeCell ref="G113:G115"/>
    <mergeCell ref="M97:S97"/>
    <mergeCell ref="N6:P6"/>
    <mergeCell ref="M142:P142"/>
    <mergeCell ref="E7:J7"/>
    <mergeCell ref="E8:J8"/>
    <mergeCell ref="E10:J10"/>
    <mergeCell ref="R7:S7"/>
    <mergeCell ref="R8:S8"/>
    <mergeCell ref="R9:S9"/>
    <mergeCell ref="E124:G124"/>
    <mergeCell ref="E125:E127"/>
    <mergeCell ref="F125:F127"/>
    <mergeCell ref="M121:P121"/>
    <mergeCell ref="G73:J73"/>
    <mergeCell ref="G74:J74"/>
    <mergeCell ref="G75:J75"/>
    <mergeCell ref="G70:J70"/>
    <mergeCell ref="G32:J32"/>
    <mergeCell ref="G30:J30"/>
    <mergeCell ref="G33:J33"/>
    <mergeCell ref="G34:J34"/>
    <mergeCell ref="G31:J31"/>
  </mergeCells>
  <conditionalFormatting sqref="C25">
    <cfRule type="cellIs" dxfId="126" priority="141" operator="equal">
      <formula>"Anders"</formula>
    </cfRule>
  </conditionalFormatting>
  <conditionalFormatting sqref="E25">
    <cfRule type="cellIs" dxfId="125" priority="140" operator="equal">
      <formula>"Anders"</formula>
    </cfRule>
  </conditionalFormatting>
  <conditionalFormatting sqref="E121">
    <cfRule type="cellIs" dxfId="124" priority="111" operator="greaterThan">
      <formula>$C$121</formula>
    </cfRule>
    <cfRule type="cellIs" dxfId="123" priority="112" operator="lessThan">
      <formula>0</formula>
    </cfRule>
  </conditionalFormatting>
  <conditionalFormatting sqref="E120">
    <cfRule type="cellIs" dxfId="122" priority="109" operator="lessThan">
      <formula>0</formula>
    </cfRule>
    <cfRule type="cellIs" dxfId="121" priority="110" operator="greaterThan">
      <formula>$D$120</formula>
    </cfRule>
  </conditionalFormatting>
  <conditionalFormatting sqref="Q80">
    <cfRule type="expression" dxfId="120" priority="103">
      <formula>AND($Q$78&gt;$Q$79,$Q$80="Ja")</formula>
    </cfRule>
  </conditionalFormatting>
  <conditionalFormatting sqref="R80">
    <cfRule type="expression" dxfId="119" priority="102">
      <formula>AND($R$78&gt;$R$79,$R$80="Ja")</formula>
    </cfRule>
  </conditionalFormatting>
  <conditionalFormatting sqref="E117">
    <cfRule type="cellIs" dxfId="118" priority="91" operator="greaterThan">
      <formula>$C$117</formula>
    </cfRule>
    <cfRule type="cellIs" dxfId="117" priority="92" operator="lessThan">
      <formula>0</formula>
    </cfRule>
  </conditionalFormatting>
  <conditionalFormatting sqref="E118">
    <cfRule type="cellIs" dxfId="116" priority="89" operator="greaterThan">
      <formula>$C$118</formula>
    </cfRule>
    <cfRule type="cellIs" dxfId="115" priority="90" operator="lessThan">
      <formula>0</formula>
    </cfRule>
  </conditionalFormatting>
  <conditionalFormatting sqref="E119">
    <cfRule type="cellIs" dxfId="114" priority="83" operator="greaterThan">
      <formula>$C$119</formula>
    </cfRule>
    <cfRule type="cellIs" dxfId="113" priority="84" operator="lessThan">
      <formula>0</formula>
    </cfRule>
  </conditionalFormatting>
  <conditionalFormatting sqref="D165">
    <cfRule type="expression" dxfId="112" priority="82">
      <formula>AND($D$163&lt;&gt;0,$D$165&lt;&gt;0)</formula>
    </cfRule>
  </conditionalFormatting>
  <conditionalFormatting sqref="I201:I212 J208:J212">
    <cfRule type="cellIs" dxfId="111" priority="77" operator="equal">
      <formula>"Nee"</formula>
    </cfRule>
    <cfRule type="cellIs" dxfId="110" priority="78" operator="equal">
      <formula>"Ja"</formula>
    </cfRule>
  </conditionalFormatting>
  <conditionalFormatting sqref="J201:J207">
    <cfRule type="cellIs" dxfId="109" priority="70" operator="equal">
      <formula>"Nee"</formula>
    </cfRule>
    <cfRule type="cellIs" dxfId="108" priority="71" operator="equal">
      <formula>"Ja"</formula>
    </cfRule>
  </conditionalFormatting>
  <conditionalFormatting sqref="C201:D212">
    <cfRule type="expression" dxfId="107" priority="699">
      <formula>AND($B201&lt;&gt;"",$E201&lt;&gt;"",SUM($C201:$I201)=0,$H201&lt;18)</formula>
    </cfRule>
    <cfRule type="expression" dxfId="106" priority="700">
      <formula>AND($C201=1,$D201=1)</formula>
    </cfRule>
  </conditionalFormatting>
  <conditionalFormatting sqref="C138">
    <cfRule type="cellIs" dxfId="105" priority="69" operator="equal">
      <formula>"Anders"</formula>
    </cfRule>
  </conditionalFormatting>
  <conditionalFormatting sqref="E138">
    <cfRule type="cellIs" dxfId="104" priority="68" operator="equal">
      <formula>"Anders"</formula>
    </cfRule>
  </conditionalFormatting>
  <conditionalFormatting sqref="C165:D165">
    <cfRule type="cellIs" dxfId="103" priority="854" operator="between">
      <formula>0+0.01</formula>
      <formula>$E$165-0.01</formula>
    </cfRule>
    <cfRule type="cellIs" dxfId="102" priority="855" operator="greaterThan">
      <formula>$E$165</formula>
    </cfRule>
  </conditionalFormatting>
  <conditionalFormatting sqref="E47">
    <cfRule type="cellIs" dxfId="101" priority="51" operator="equal">
      <formula>"Anders"</formula>
    </cfRule>
  </conditionalFormatting>
  <conditionalFormatting sqref="E87">
    <cfRule type="cellIs" dxfId="100" priority="45" operator="equal">
      <formula>"Anders"</formula>
    </cfRule>
  </conditionalFormatting>
  <conditionalFormatting sqref="C47">
    <cfRule type="cellIs" dxfId="99" priority="52" operator="equal">
      <formula>"Anders"</formula>
    </cfRule>
  </conditionalFormatting>
  <conditionalFormatting sqref="C87">
    <cfRule type="cellIs" dxfId="98" priority="46" operator="equal">
      <formula>"Anders"</formula>
    </cfRule>
  </conditionalFormatting>
  <conditionalFormatting sqref="C56">
    <cfRule type="cellIs" dxfId="97" priority="54" operator="equal">
      <formula>"Anders"</formula>
    </cfRule>
  </conditionalFormatting>
  <conditionalFormatting sqref="E56">
    <cfRule type="cellIs" dxfId="96" priority="53" operator="equal">
      <formula>"Anders"</formula>
    </cfRule>
  </conditionalFormatting>
  <conditionalFormatting sqref="C64">
    <cfRule type="cellIs" dxfId="95" priority="48" operator="equal">
      <formula>"Anders"</formula>
    </cfRule>
  </conditionalFormatting>
  <conditionalFormatting sqref="E64">
    <cfRule type="cellIs" dxfId="94" priority="47" operator="equal">
      <formula>"Anders"</formula>
    </cfRule>
  </conditionalFormatting>
  <conditionalFormatting sqref="C204:D207">
    <cfRule type="expression" dxfId="93" priority="32">
      <formula>AND($B204&lt;&gt;"",$E204&lt;&gt;"",SUM($C204:$I204)=0,$H204&lt;18)</formula>
    </cfRule>
    <cfRule type="expression" dxfId="92" priority="33">
      <formula>AND($C204=1,$D204=1)</formula>
    </cfRule>
  </conditionalFormatting>
  <conditionalFormatting sqref="C9:D10">
    <cfRule type="cellIs" dxfId="91" priority="1076" operator="lessThanOrEqual">
      <formula>$C$16</formula>
    </cfRule>
  </conditionalFormatting>
  <conditionalFormatting sqref="C165">
    <cfRule type="expression" dxfId="90" priority="27">
      <formula>AND($C$163&lt;&gt;0,$C$165&lt;&gt;0)</formula>
    </cfRule>
  </conditionalFormatting>
  <conditionalFormatting sqref="D43:D44">
    <cfRule type="expression" dxfId="89" priority="24">
      <formula>AND($D$43&gt;0,$D$43&lt;$D$41)</formula>
    </cfRule>
  </conditionalFormatting>
  <conditionalFormatting sqref="F43:F44">
    <cfRule type="expression" dxfId="88" priority="23">
      <formula>AND($F$43&gt;0,$F$43&lt;$F$41)</formula>
    </cfRule>
  </conditionalFormatting>
  <conditionalFormatting sqref="C11:D11">
    <cfRule type="cellIs" dxfId="87" priority="22" operator="lessThanOrEqual">
      <formula>$C$16</formula>
    </cfRule>
  </conditionalFormatting>
  <conditionalFormatting sqref="C12:D12">
    <cfRule type="cellIs" dxfId="86" priority="21" operator="lessThanOrEqual">
      <formula>$C$16</formula>
    </cfRule>
  </conditionalFormatting>
  <conditionalFormatting sqref="E133">
    <cfRule type="cellIs" dxfId="85" priority="14" operator="greaterThan">
      <formula>$C$121</formula>
    </cfRule>
    <cfRule type="cellIs" dxfId="84" priority="15" operator="lessThan">
      <formula>0</formula>
    </cfRule>
  </conditionalFormatting>
  <conditionalFormatting sqref="E132">
    <cfRule type="cellIs" dxfId="83" priority="12" operator="lessThan">
      <formula>0</formula>
    </cfRule>
    <cfRule type="cellIs" dxfId="82" priority="13" operator="greaterThan">
      <formula>$D$132</formula>
    </cfRule>
  </conditionalFormatting>
  <conditionalFormatting sqref="E129">
    <cfRule type="cellIs" dxfId="81" priority="10" operator="greaterThan">
      <formula>$C$129</formula>
    </cfRule>
    <cfRule type="cellIs" dxfId="80" priority="11" operator="lessThan">
      <formula>0</formula>
    </cfRule>
  </conditionalFormatting>
  <conditionalFormatting sqref="E130">
    <cfRule type="cellIs" dxfId="79" priority="8" operator="greaterThan">
      <formula>$C$130</formula>
    </cfRule>
    <cfRule type="cellIs" dxfId="78" priority="9" operator="lessThan">
      <formula>0</formula>
    </cfRule>
  </conditionalFormatting>
  <conditionalFormatting sqref="E131">
    <cfRule type="cellIs" dxfId="77" priority="6" operator="greaterThan">
      <formula>$C$131</formula>
    </cfRule>
    <cfRule type="cellIs" dxfId="76" priority="7" operator="lessThan">
      <formula>0</formula>
    </cfRule>
  </conditionalFormatting>
  <conditionalFormatting sqref="D165">
    <cfRule type="expression" dxfId="75" priority="5">
      <formula>AND($C$163&lt;&gt;0,$C$165&lt;&gt;0)</formula>
    </cfRule>
  </conditionalFormatting>
  <conditionalFormatting sqref="C7">
    <cfRule type="expression" dxfId="74" priority="1281">
      <formula>AND($D$35=0,$C$7="Ja")</formula>
    </cfRule>
    <cfRule type="expression" dxfId="73" priority="1282">
      <formula>AND($D$35&lt;&gt;0,$C$7="Nee")</formula>
    </cfRule>
  </conditionalFormatting>
  <conditionalFormatting sqref="D7">
    <cfRule type="expression" dxfId="72" priority="1283">
      <formula>AND($F$35=0,$D$7="Ja")</formula>
    </cfRule>
    <cfRule type="expression" dxfId="71" priority="1284">
      <formula>AND($F$35&lt;&gt;0,$D$7="Nee")</formula>
    </cfRule>
  </conditionalFormatting>
  <conditionalFormatting sqref="C8">
    <cfRule type="expression" dxfId="70" priority="1285">
      <formula>AND($D$35&lt;&gt;0,$C$8="Ja")</formula>
    </cfRule>
    <cfRule type="expression" dxfId="69" priority="1286">
      <formula>AND($D$35=0,$C$8="Nee")</formula>
    </cfRule>
  </conditionalFormatting>
  <conditionalFormatting sqref="D8">
    <cfRule type="expression" dxfId="68" priority="1287">
      <formula>AND($F$35&lt;&gt;0,$D$8="Ja")</formula>
    </cfRule>
    <cfRule type="expression" dxfId="67" priority="1288">
      <formula>AND($F$35=0,$D$8="Nee")</formula>
    </cfRule>
  </conditionalFormatting>
  <conditionalFormatting sqref="D95:E95">
    <cfRule type="expression" dxfId="66" priority="1289">
      <formula>AND(D$94="Nee",D$95="Ja")</formula>
    </cfRule>
  </conditionalFormatting>
  <conditionalFormatting sqref="Q96">
    <cfRule type="expression" dxfId="65" priority="1290">
      <formula>AND($Q$96="Ja",$C$221=0)</formula>
    </cfRule>
  </conditionalFormatting>
  <conditionalFormatting sqref="R96">
    <cfRule type="expression" dxfId="64" priority="1291">
      <formula>AND($R$96="Ja",$D$221=0)</formula>
    </cfRule>
  </conditionalFormatting>
  <dataValidations count="1">
    <dataValidation type="whole" allowBlank="1" showInputMessage="1" showErrorMessage="1" promptTitle="Aantal invullen" prompt="Vul een 0 of een 1 in" sqref="C201:D212" xr:uid="{00000000-0002-0000-0000-000000000000}">
      <formula1>0</formula1>
      <formula2>1</formula2>
    </dataValidation>
  </dataValidations>
  <hyperlinks>
    <hyperlink ref="P13" r:id="rId1" xr:uid="{00000000-0004-0000-0000-000000000000}"/>
    <hyperlink ref="C232" r:id="rId2" xr:uid="{00000000-0004-0000-0000-000001000000}"/>
    <hyperlink ref="O99" r:id="rId3" xr:uid="{00000000-0004-0000-0000-000002000000}"/>
    <hyperlink ref="O75" r:id="rId4" xr:uid="{00000000-0004-0000-0000-000003000000}"/>
    <hyperlink ref="O153" r:id="rId5" xr:uid="{00000000-0004-0000-0000-000005000000}"/>
    <hyperlink ref="E193" r:id="rId6" xr:uid="{00000000-0004-0000-0000-000006000000}"/>
    <hyperlink ref="P22" r:id="rId7" xr:uid="{00000000-0004-0000-0000-000007000000}"/>
    <hyperlink ref="P35" r:id="rId8" xr:uid="{00000000-0004-0000-0000-000008000000}"/>
    <hyperlink ref="P45" r:id="rId9" xr:uid="{00000000-0004-0000-0000-000009000000}"/>
    <hyperlink ref="O107" r:id="rId10" xr:uid="{00000000-0004-0000-0000-00000A000000}"/>
    <hyperlink ref="O115" r:id="rId11" xr:uid="{00000000-0004-0000-0000-00000B000000}"/>
    <hyperlink ref="D148" r:id="rId12" xr:uid="{00000000-0004-0000-0000-00000C000000}"/>
    <hyperlink ref="O124" r:id="rId13" xr:uid="{00000000-0004-0000-0000-00000D000000}"/>
    <hyperlink ref="N144" r:id="rId14" xr:uid="{00000000-0004-0000-0000-00000E000000}"/>
    <hyperlink ref="G229" r:id="rId15" xr:uid="{00000000-0004-0000-0000-00000F000000}"/>
    <hyperlink ref="F196" r:id="rId16" xr:uid="{00000000-0004-0000-0000-000010000000}"/>
    <hyperlink ref="G164" r:id="rId17" xr:uid="{00000000-0004-0000-0000-000011000000}"/>
    <hyperlink ref="G9" r:id="rId18" xr:uid="{00000000-0004-0000-0000-000012000000}"/>
    <hyperlink ref="O188" r:id="rId19" xr:uid="{00000000-0004-0000-0000-000013000000}"/>
    <hyperlink ref="D149" r:id="rId20" xr:uid="{831F20BF-4AEF-4C93-84AE-843F39FB5D5C}"/>
    <hyperlink ref="O171" r:id="rId21" xr:uid="{00000000-0004-0000-0000-000004000000}"/>
  </hyperlinks>
  <pageMargins left="0.70866141732283472" right="0.70866141732283472" top="0.74803149606299213" bottom="0.74803149606299213" header="0.31496062992125984" footer="0.31496062992125984"/>
  <pageSetup paperSize="8" scale="65" orientation="landscape" horizontalDpi="4294967293" r:id="rId22"/>
  <drawing r:id="rId23"/>
  <legacyDrawing r:id="rId24"/>
  <extLst>
    <ext xmlns:x14="http://schemas.microsoft.com/office/spreadsheetml/2009/9/main" uri="{CCE6A557-97BC-4b89-ADB6-D9C93CAAB3DF}">
      <x14:dataValidations xmlns:xm="http://schemas.microsoft.com/office/excel/2006/main" count="4">
        <x14:dataValidation type="list" allowBlank="1" showInputMessage="1" showErrorMessage="1" errorTitle="Fout" error="Foute gegevens invoer" promptTitle="Soort loon" prompt="Geef aan of het om een maand of een 4-wekenloon gaat of anders" xr:uid="{00000000-0002-0000-0000-000001000000}">
          <x14:formula1>
            <xm:f>Keuzelijsten!$A$2:$A$4</xm:f>
          </x14:formula1>
          <xm:sqref>C24 E24 C46 E46 C55 E55 C63 E63 C137 E137 C86 E86</xm:sqref>
        </x14:dataValidation>
        <x14:dataValidation type="list" allowBlank="1" showInputMessage="1" showErrorMessage="1" errorTitle="Fout" error="Er is een foutive waarde ingevoerd" promptTitle="Ja / Nee" prompt="Vul Ja of Nee in" xr:uid="{00000000-0002-0000-0000-000002000000}">
          <x14:formula1>
            <xm:f>Keuzelijsten!$B$2:$B$3</xm:f>
          </x14:formula1>
          <xm:sqref>Q96:R96 Q80:R80 F116 C194:D194 D94:E95 D105:E109 D99:E100 C7:D8 C230 F128 C32 E32</xm:sqref>
        </x14:dataValidation>
        <x14:dataValidation type="list" allowBlank="1" showInputMessage="1" showErrorMessage="1" promptTitle="Zorgkorting" prompt="Voor 0%, 15%, 25% of 35% in" xr:uid="{00000000-0002-0000-0000-000003000000}">
          <x14:formula1>
            <xm:f>Keuzelijsten!$D$2:$D$5</xm:f>
          </x14:formula1>
          <xm:sqref>G201:G212</xm:sqref>
        </x14:dataValidation>
        <x14:dataValidation type="list" allowBlank="1" showInputMessage="1" showErrorMessage="1" promptTitle="Draagkracht %" prompt="Normaal wordt uitgegaan van 60%" xr:uid="{B6CEE02B-8E8B-4837-BFBD-902844A21A90}">
          <x14:formula1>
            <xm:f>Keuzelijsten!$E$2:$E$3</xm:f>
          </x14:formula1>
          <xm:sqref>C155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K627"/>
  <sheetViews>
    <sheetView zoomScale="70" zoomScaleNormal="70" workbookViewId="0">
      <pane xSplit="2" ySplit="3" topLeftCell="C4" activePane="bottomRight" state="frozen"/>
      <selection pane="topRight" activeCell="C1" sqref="C1"/>
      <selection pane="bottomLeft" activeCell="A5" sqref="A5"/>
      <selection pane="bottomRight" activeCell="B4" sqref="B4"/>
    </sheetView>
  </sheetViews>
  <sheetFormatPr defaultColWidth="9.109375" defaultRowHeight="14.4" outlineLevelRow="2" x14ac:dyDescent="0.3"/>
  <cols>
    <col min="1" max="1" width="6.6640625" style="224" bestFit="1" customWidth="1"/>
    <col min="2" max="2" width="9.109375" style="3"/>
    <col min="3" max="3" width="82.6640625" style="222" customWidth="1"/>
    <col min="4" max="4" width="3.88671875" style="3" bestFit="1" customWidth="1"/>
    <col min="5" max="8" width="20.6640625" style="354" customWidth="1"/>
    <col min="9" max="9" width="65.6640625" style="204" customWidth="1"/>
    <col min="10" max="10" width="9.109375" style="1" customWidth="1"/>
    <col min="11" max="16384" width="9.109375" style="1"/>
  </cols>
  <sheetData>
    <row r="1" spans="1:9" ht="23.4" x14ac:dyDescent="0.3">
      <c r="A1" s="225">
        <v>1</v>
      </c>
      <c r="B1" s="181"/>
      <c r="C1" s="660" t="s">
        <v>83</v>
      </c>
      <c r="D1" s="181"/>
      <c r="E1" s="251"/>
      <c r="F1" s="251"/>
      <c r="G1" s="251"/>
      <c r="H1" s="251"/>
      <c r="I1" s="201"/>
    </row>
    <row r="2" spans="1:9" ht="15" thickBot="1" x14ac:dyDescent="0.35">
      <c r="A2" s="223">
        <v>2</v>
      </c>
      <c r="B2" s="185"/>
      <c r="C2" s="209"/>
      <c r="D2" s="185"/>
      <c r="E2" s="353"/>
      <c r="F2" s="353"/>
      <c r="G2" s="353"/>
      <c r="H2" s="353"/>
      <c r="I2" s="203"/>
    </row>
    <row r="3" spans="1:9" s="356" customFormat="1" ht="13.95" customHeight="1" thickBot="1" x14ac:dyDescent="0.35">
      <c r="A3" s="478" t="s">
        <v>415</v>
      </c>
      <c r="B3" s="479" t="s">
        <v>8</v>
      </c>
      <c r="C3" s="923" t="s">
        <v>382</v>
      </c>
      <c r="D3" s="924" t="s">
        <v>361</v>
      </c>
      <c r="E3" s="925" t="str">
        <f>Basisgegevens!C4</f>
        <v>AP</v>
      </c>
      <c r="F3" s="925" t="s">
        <v>504</v>
      </c>
      <c r="G3" s="925" t="str">
        <f>Basisgegevens!D4</f>
        <v>AG</v>
      </c>
      <c r="H3" s="925" t="s">
        <v>504</v>
      </c>
      <c r="I3" s="926" t="s">
        <v>360</v>
      </c>
    </row>
    <row r="4" spans="1:9" ht="15" thickBot="1" x14ac:dyDescent="0.35">
      <c r="A4" s="477">
        <v>4</v>
      </c>
      <c r="B4" s="446"/>
      <c r="C4" s="919"/>
      <c r="D4" s="920"/>
      <c r="E4" s="921"/>
      <c r="F4" s="921"/>
      <c r="G4" s="921"/>
      <c r="H4" s="921"/>
      <c r="I4" s="922"/>
    </row>
    <row r="5" spans="1:9" ht="21.6" thickBot="1" x14ac:dyDescent="0.35">
      <c r="A5" s="438">
        <v>5</v>
      </c>
      <c r="B5" s="374"/>
      <c r="C5" s="377" t="s">
        <v>383</v>
      </c>
      <c r="D5" s="448"/>
      <c r="E5" s="915"/>
      <c r="F5" s="916"/>
      <c r="G5" s="915"/>
      <c r="H5" s="917"/>
      <c r="I5" s="918"/>
    </row>
    <row r="6" spans="1:9" ht="18.600000000000001" thickBot="1" x14ac:dyDescent="0.35">
      <c r="A6" s="362">
        <v>6</v>
      </c>
      <c r="B6" s="352"/>
      <c r="C6" s="210" t="s">
        <v>496</v>
      </c>
      <c r="D6" s="449"/>
      <c r="E6" s="911"/>
      <c r="F6" s="912"/>
      <c r="G6" s="911"/>
      <c r="H6" s="913"/>
      <c r="I6" s="914"/>
    </row>
    <row r="7" spans="1:9" ht="43.2" outlineLevel="2" x14ac:dyDescent="0.3">
      <c r="A7" s="364">
        <v>7</v>
      </c>
      <c r="B7" s="182">
        <v>41</v>
      </c>
      <c r="C7" s="189" t="s">
        <v>91</v>
      </c>
      <c r="D7" s="450" t="s">
        <v>113</v>
      </c>
      <c r="E7" s="933">
        <f>Basisgegevens!D29</f>
        <v>0</v>
      </c>
      <c r="F7" s="2212" t="s">
        <v>447</v>
      </c>
      <c r="G7" s="933">
        <f>Basisgegevens!F26</f>
        <v>0</v>
      </c>
      <c r="H7" s="2215" t="s">
        <v>447</v>
      </c>
      <c r="I7" s="934" t="s">
        <v>588</v>
      </c>
    </row>
    <row r="8" spans="1:9" outlineLevel="2" x14ac:dyDescent="0.3">
      <c r="A8" s="439">
        <v>8</v>
      </c>
      <c r="B8" s="183">
        <v>42</v>
      </c>
      <c r="C8" s="190" t="s">
        <v>242</v>
      </c>
      <c r="D8" s="451" t="s">
        <v>113</v>
      </c>
      <c r="E8" s="848">
        <f>Basisgegevens!D50</f>
        <v>0</v>
      </c>
      <c r="F8" s="2203"/>
      <c r="G8" s="848">
        <f>Basisgegevens!F50</f>
        <v>0</v>
      </c>
      <c r="H8" s="2205"/>
      <c r="I8" s="887" t="s">
        <v>262</v>
      </c>
    </row>
    <row r="9" spans="1:9" outlineLevel="2" x14ac:dyDescent="0.3">
      <c r="A9" s="362">
        <v>9</v>
      </c>
      <c r="B9" s="183">
        <v>43</v>
      </c>
      <c r="C9" s="190" t="s">
        <v>92</v>
      </c>
      <c r="D9" s="451" t="s">
        <v>113</v>
      </c>
      <c r="E9" s="848">
        <f>Basisgegevens!D57</f>
        <v>0</v>
      </c>
      <c r="F9" s="2203"/>
      <c r="G9" s="848">
        <f>Basisgegevens!F57</f>
        <v>0</v>
      </c>
      <c r="H9" s="2205"/>
      <c r="I9" s="887" t="s">
        <v>263</v>
      </c>
    </row>
    <row r="10" spans="1:9" outlineLevel="2" x14ac:dyDescent="0.3">
      <c r="A10" s="364">
        <v>10</v>
      </c>
      <c r="B10" s="183">
        <v>44</v>
      </c>
      <c r="C10" s="190" t="s">
        <v>89</v>
      </c>
      <c r="D10" s="451" t="s">
        <v>113</v>
      </c>
      <c r="E10" s="848">
        <f>SUM(Basisgegevens!D31+Basisgegevens!D58)</f>
        <v>0</v>
      </c>
      <c r="F10" s="2203"/>
      <c r="G10" s="848">
        <f>SUM(Basisgegevens!F31+Basisgegevens!F58)</f>
        <v>0</v>
      </c>
      <c r="H10" s="2205"/>
      <c r="I10" s="887" t="s">
        <v>261</v>
      </c>
    </row>
    <row r="11" spans="1:9" ht="43.2" outlineLevel="2" x14ac:dyDescent="0.3">
      <c r="A11" s="439">
        <v>11</v>
      </c>
      <c r="B11" s="183">
        <v>45</v>
      </c>
      <c r="C11" s="190" t="s">
        <v>93</v>
      </c>
      <c r="D11" s="451" t="s">
        <v>113</v>
      </c>
      <c r="E11" s="848">
        <f>IF(Basisgegevens!D43&gt;0,Basisgegevens!D43,Basisgegevens!D41)</f>
        <v>0</v>
      </c>
      <c r="F11" s="2203"/>
      <c r="G11" s="848">
        <f>IF(Basisgegevens!F43&gt;0,Basisgegevens!F43,Basisgegevens!F41)</f>
        <v>0</v>
      </c>
      <c r="H11" s="2205"/>
      <c r="I11" s="887" t="s">
        <v>311</v>
      </c>
    </row>
    <row r="12" spans="1:9" ht="28.8" outlineLevel="2" x14ac:dyDescent="0.3">
      <c r="A12" s="362">
        <v>12</v>
      </c>
      <c r="B12" s="183">
        <v>46</v>
      </c>
      <c r="C12" s="190" t="s">
        <v>587</v>
      </c>
      <c r="D12" s="451" t="s">
        <v>113</v>
      </c>
      <c r="E12" s="848">
        <f>Basisgegevens!D30</f>
        <v>0</v>
      </c>
      <c r="F12" s="2203"/>
      <c r="G12" s="848">
        <f>Basisgegevens!F30</f>
        <v>0</v>
      </c>
      <c r="H12" s="2205"/>
      <c r="I12" s="887" t="s">
        <v>258</v>
      </c>
    </row>
    <row r="13" spans="1:9" outlineLevel="2" x14ac:dyDescent="0.3">
      <c r="A13" s="364">
        <v>13</v>
      </c>
      <c r="B13" s="183">
        <v>47</v>
      </c>
      <c r="C13" s="190" t="s">
        <v>90</v>
      </c>
      <c r="D13" s="451" t="s">
        <v>113</v>
      </c>
      <c r="E13" s="848">
        <f>Basisgegevens!D33</f>
        <v>0</v>
      </c>
      <c r="F13" s="2203"/>
      <c r="G13" s="848">
        <f>Basisgegevens!F33</f>
        <v>0</v>
      </c>
      <c r="H13" s="2205"/>
      <c r="I13" s="887"/>
    </row>
    <row r="14" spans="1:9" ht="28.8" outlineLevel="2" x14ac:dyDescent="0.3">
      <c r="A14" s="439">
        <v>14</v>
      </c>
      <c r="B14" s="183">
        <v>48</v>
      </c>
      <c r="C14" s="190" t="s">
        <v>94</v>
      </c>
      <c r="D14" s="451" t="s">
        <v>113</v>
      </c>
      <c r="E14" s="848">
        <f>Basisgegevens!D34</f>
        <v>0</v>
      </c>
      <c r="F14" s="2203"/>
      <c r="G14" s="848">
        <f>Basisgegevens!F34</f>
        <v>0</v>
      </c>
      <c r="H14" s="2205"/>
      <c r="I14" s="887" t="s">
        <v>260</v>
      </c>
    </row>
    <row r="15" spans="1:9" ht="28.8" outlineLevel="2" x14ac:dyDescent="0.3">
      <c r="A15" s="362">
        <v>15</v>
      </c>
      <c r="B15" s="183">
        <v>49</v>
      </c>
      <c r="C15" s="190" t="s">
        <v>95</v>
      </c>
      <c r="D15" s="451" t="s">
        <v>113</v>
      </c>
      <c r="E15" s="848">
        <f>Basisgegevens!D71</f>
        <v>0</v>
      </c>
      <c r="F15" s="2203"/>
      <c r="G15" s="848">
        <f>Basisgegevens!F71</f>
        <v>0</v>
      </c>
      <c r="H15" s="2205"/>
      <c r="I15" s="887" t="s">
        <v>259</v>
      </c>
    </row>
    <row r="16" spans="1:9" ht="15" outlineLevel="2" thickBot="1" x14ac:dyDescent="0.35">
      <c r="A16" s="364">
        <v>16</v>
      </c>
      <c r="B16" s="184">
        <v>50</v>
      </c>
      <c r="C16" s="191" t="s">
        <v>96</v>
      </c>
      <c r="D16" s="452" t="s">
        <v>113</v>
      </c>
      <c r="E16" s="935">
        <f>Basisgegevens!D67</f>
        <v>0</v>
      </c>
      <c r="F16" s="2211"/>
      <c r="G16" s="935">
        <f>Basisgegevens!F67</f>
        <v>0</v>
      </c>
      <c r="H16" s="2210"/>
      <c r="I16" s="903" t="s">
        <v>264</v>
      </c>
    </row>
    <row r="17" spans="1:9" ht="16.2" thickBot="1" x14ac:dyDescent="0.35">
      <c r="A17" s="439">
        <v>17</v>
      </c>
      <c r="B17" s="420"/>
      <c r="C17" s="428" t="s">
        <v>498</v>
      </c>
      <c r="D17" s="442"/>
      <c r="E17" s="940">
        <f>SUM(E7:E16)</f>
        <v>0</v>
      </c>
      <c r="F17" s="941">
        <f>E17</f>
        <v>0</v>
      </c>
      <c r="G17" s="940">
        <f>SUM(G7:G16)</f>
        <v>0</v>
      </c>
      <c r="H17" s="942">
        <f>G17</f>
        <v>0</v>
      </c>
      <c r="I17" s="943" t="s">
        <v>257</v>
      </c>
    </row>
    <row r="18" spans="1:9" x14ac:dyDescent="0.3">
      <c r="A18" s="362">
        <v>18</v>
      </c>
      <c r="B18" s="416"/>
      <c r="C18" s="661"/>
      <c r="D18" s="944"/>
      <c r="E18" s="945"/>
      <c r="F18" s="946"/>
      <c r="G18" s="945"/>
      <c r="H18" s="947"/>
      <c r="I18" s="948"/>
    </row>
    <row r="19" spans="1:9" ht="16.2" thickBot="1" x14ac:dyDescent="0.35">
      <c r="A19" s="364">
        <v>19</v>
      </c>
      <c r="B19" s="662"/>
      <c r="C19" s="1233" t="s">
        <v>579</v>
      </c>
      <c r="D19" s="974"/>
      <c r="E19" s="975"/>
      <c r="F19" s="976"/>
      <c r="G19" s="975"/>
      <c r="H19" s="977"/>
      <c r="I19" s="1126"/>
    </row>
    <row r="20" spans="1:9" x14ac:dyDescent="0.3">
      <c r="A20" s="439">
        <v>20</v>
      </c>
      <c r="B20" s="416"/>
      <c r="C20" s="1234" t="str">
        <f>Basisgegevens!B88</f>
        <v>Bijtelling volgens salarisstrook</v>
      </c>
      <c r="D20" s="450" t="s">
        <v>113</v>
      </c>
      <c r="E20" s="933">
        <f>Basisgegevens!D88</f>
        <v>0</v>
      </c>
      <c r="F20" s="2212" t="s">
        <v>447</v>
      </c>
      <c r="G20" s="933">
        <f>Basisgegevens!F88</f>
        <v>0</v>
      </c>
      <c r="H20" s="2215" t="s">
        <v>447</v>
      </c>
      <c r="I20" s="948"/>
    </row>
    <row r="21" spans="1:9" x14ac:dyDescent="0.3">
      <c r="A21" s="362">
        <v>21</v>
      </c>
      <c r="B21" s="425"/>
      <c r="C21" s="657" t="str">
        <f>Basisgegevens!B89</f>
        <v>Eigen bijdrage</v>
      </c>
      <c r="D21" s="451" t="s">
        <v>107</v>
      </c>
      <c r="E21" s="848">
        <f>Basisgegevens!D89</f>
        <v>0</v>
      </c>
      <c r="F21" s="2203"/>
      <c r="G21" s="848">
        <f>Basisgegevens!F89</f>
        <v>0</v>
      </c>
      <c r="H21" s="2205"/>
      <c r="I21" s="888"/>
    </row>
    <row r="22" spans="1:9" ht="15" thickBot="1" x14ac:dyDescent="0.35">
      <c r="A22" s="364">
        <v>22</v>
      </c>
      <c r="B22" s="235"/>
      <c r="C22" s="1235" t="str">
        <f>Basisgegevens!B90</f>
        <v>Bijtelling auto van de zaak</v>
      </c>
      <c r="D22" s="452"/>
      <c r="E22" s="935">
        <f>Basisgegevens!D90</f>
        <v>0</v>
      </c>
      <c r="F22" s="2211"/>
      <c r="G22" s="935">
        <f>Basisgegevens!F90</f>
        <v>0</v>
      </c>
      <c r="H22" s="2210"/>
      <c r="I22" s="949"/>
    </row>
    <row r="23" spans="1:9" ht="15" thickBot="1" x14ac:dyDescent="0.35">
      <c r="A23" s="439">
        <v>23</v>
      </c>
      <c r="B23" s="1241"/>
      <c r="C23" s="1242"/>
      <c r="D23" s="1243"/>
      <c r="E23" s="940">
        <f>E22+E17</f>
        <v>0</v>
      </c>
      <c r="F23" s="1244"/>
      <c r="G23" s="940">
        <f>G22+G17</f>
        <v>0</v>
      </c>
      <c r="H23" s="1245"/>
      <c r="I23" s="1246"/>
    </row>
    <row r="24" spans="1:9" ht="15" thickBot="1" x14ac:dyDescent="0.35">
      <c r="A24" s="362">
        <v>24</v>
      </c>
      <c r="B24" s="1236"/>
      <c r="C24" s="1237"/>
      <c r="D24" s="1238"/>
      <c r="E24" s="1239"/>
      <c r="F24" s="1155"/>
      <c r="G24" s="1239"/>
      <c r="H24" s="1156"/>
      <c r="I24" s="1240"/>
    </row>
    <row r="25" spans="1:9" s="226" customFormat="1" ht="18.600000000000001" thickBot="1" x14ac:dyDescent="0.35">
      <c r="A25" s="364">
        <v>25</v>
      </c>
      <c r="B25" s="357"/>
      <c r="C25" s="358" t="s">
        <v>495</v>
      </c>
      <c r="D25" s="454"/>
      <c r="E25" s="951"/>
      <c r="F25" s="952"/>
      <c r="G25" s="951"/>
      <c r="H25" s="953"/>
      <c r="I25" s="954"/>
    </row>
    <row r="26" spans="1:9" outlineLevel="1" x14ac:dyDescent="0.3">
      <c r="A26" s="439">
        <v>26</v>
      </c>
      <c r="B26" s="182">
        <v>51</v>
      </c>
      <c r="C26" s="189" t="s">
        <v>97</v>
      </c>
      <c r="D26" s="450" t="s">
        <v>107</v>
      </c>
      <c r="E26" s="933">
        <f>SUM(Basisgegevens!D72+Basisgegevens!D51+Basisgegevens!D60)</f>
        <v>0</v>
      </c>
      <c r="F26" s="2212" t="s">
        <v>447</v>
      </c>
      <c r="G26" s="933">
        <f>SUM(Basisgegevens!F72+Basisgegevens!F51+Basisgegevens!F60)</f>
        <v>0</v>
      </c>
      <c r="H26" s="2215" t="s">
        <v>447</v>
      </c>
      <c r="I26" s="955" t="s">
        <v>265</v>
      </c>
    </row>
    <row r="27" spans="1:9" outlineLevel="1" x14ac:dyDescent="0.3">
      <c r="A27" s="362">
        <v>27</v>
      </c>
      <c r="B27" s="183">
        <v>52</v>
      </c>
      <c r="C27" s="190" t="s">
        <v>98</v>
      </c>
      <c r="D27" s="451" t="s">
        <v>107</v>
      </c>
      <c r="E27" s="848">
        <f>Basisgegevens!D73</f>
        <v>0</v>
      </c>
      <c r="F27" s="2203"/>
      <c r="G27" s="848">
        <f>Basisgegevens!F73</f>
        <v>0</v>
      </c>
      <c r="H27" s="2205"/>
      <c r="I27" s="887"/>
    </row>
    <row r="28" spans="1:9" ht="29.4" outlineLevel="1" thickBot="1" x14ac:dyDescent="0.35">
      <c r="A28" s="364">
        <v>28</v>
      </c>
      <c r="B28" s="184">
        <v>53</v>
      </c>
      <c r="C28" s="191" t="s">
        <v>101</v>
      </c>
      <c r="D28" s="452" t="s">
        <v>107</v>
      </c>
      <c r="E28" s="935">
        <f>Basisgegevens!D74</f>
        <v>0</v>
      </c>
      <c r="F28" s="2211"/>
      <c r="G28" s="935">
        <f>Basisgegevens!F74</f>
        <v>0</v>
      </c>
      <c r="H28" s="2210"/>
      <c r="I28" s="903" t="s">
        <v>255</v>
      </c>
    </row>
    <row r="29" spans="1:9" ht="16.2" thickBot="1" x14ac:dyDescent="0.35">
      <c r="A29" s="439">
        <v>29</v>
      </c>
      <c r="B29" s="420">
        <v>54</v>
      </c>
      <c r="C29" s="428" t="s">
        <v>497</v>
      </c>
      <c r="D29" s="957" t="s">
        <v>21</v>
      </c>
      <c r="E29" s="940">
        <f>E17-SUM(E26:E28)</f>
        <v>0</v>
      </c>
      <c r="F29" s="941">
        <f>E29</f>
        <v>0</v>
      </c>
      <c r="G29" s="940">
        <f>G17-SUM(G26:G28)</f>
        <v>0</v>
      </c>
      <c r="H29" s="942">
        <f>G29</f>
        <v>0</v>
      </c>
      <c r="I29" s="943" t="s">
        <v>256</v>
      </c>
    </row>
    <row r="30" spans="1:9" outlineLevel="1" x14ac:dyDescent="0.3">
      <c r="A30" s="362">
        <v>30</v>
      </c>
      <c r="B30" s="182"/>
      <c r="C30" s="189"/>
      <c r="D30" s="450"/>
      <c r="E30" s="958"/>
      <c r="F30" s="946"/>
      <c r="G30" s="958"/>
      <c r="H30" s="947"/>
      <c r="I30" s="955"/>
    </row>
    <row r="31" spans="1:9" outlineLevel="1" x14ac:dyDescent="0.3">
      <c r="A31" s="364">
        <v>31</v>
      </c>
      <c r="B31" s="183"/>
      <c r="C31" s="198" t="s">
        <v>114</v>
      </c>
      <c r="D31" s="451"/>
      <c r="E31" s="851"/>
      <c r="F31" s="871"/>
      <c r="G31" s="851"/>
      <c r="H31" s="850"/>
      <c r="I31" s="889"/>
    </row>
    <row r="32" spans="1:9" ht="28.8" outlineLevel="1" x14ac:dyDescent="0.3">
      <c r="A32" s="439">
        <v>32</v>
      </c>
      <c r="B32" s="183">
        <v>55</v>
      </c>
      <c r="C32" s="190" t="s">
        <v>99</v>
      </c>
      <c r="D32" s="451" t="s">
        <v>107</v>
      </c>
      <c r="E32" s="848">
        <f>Basisgegevens!D75</f>
        <v>0</v>
      </c>
      <c r="F32" s="2198" t="s">
        <v>447</v>
      </c>
      <c r="G32" s="848">
        <f>Basisgegevens!F75</f>
        <v>0</v>
      </c>
      <c r="H32" s="2200" t="s">
        <v>447</v>
      </c>
      <c r="I32" s="887" t="s">
        <v>253</v>
      </c>
    </row>
    <row r="33" spans="1:9" ht="28.8" outlineLevel="1" x14ac:dyDescent="0.3">
      <c r="A33" s="362">
        <v>33</v>
      </c>
      <c r="B33" s="183">
        <v>56</v>
      </c>
      <c r="C33" s="190" t="s">
        <v>100</v>
      </c>
      <c r="D33" s="451" t="s">
        <v>107</v>
      </c>
      <c r="E33" s="848">
        <f>Basisgegevens!D76</f>
        <v>0</v>
      </c>
      <c r="F33" s="2203"/>
      <c r="G33" s="848">
        <f>Basisgegevens!F76</f>
        <v>0</v>
      </c>
      <c r="H33" s="2205"/>
      <c r="I33" s="887" t="s">
        <v>254</v>
      </c>
    </row>
    <row r="34" spans="1:9" outlineLevel="1" x14ac:dyDescent="0.3">
      <c r="A34" s="364">
        <v>34</v>
      </c>
      <c r="B34" s="183"/>
      <c r="C34" s="190"/>
      <c r="D34" s="464"/>
      <c r="E34" s="851"/>
      <c r="F34" s="871"/>
      <c r="G34" s="851"/>
      <c r="H34" s="850"/>
      <c r="I34" s="887"/>
    </row>
    <row r="35" spans="1:9" outlineLevel="1" x14ac:dyDescent="0.3">
      <c r="A35" s="439">
        <v>35</v>
      </c>
      <c r="B35" s="183"/>
      <c r="C35" s="198" t="s">
        <v>102</v>
      </c>
      <c r="D35" s="464"/>
      <c r="E35" s="851"/>
      <c r="F35" s="871"/>
      <c r="G35" s="851"/>
      <c r="H35" s="850"/>
      <c r="I35" s="889"/>
    </row>
    <row r="36" spans="1:9" ht="43.2" outlineLevel="1" x14ac:dyDescent="0.3">
      <c r="A36" s="362">
        <v>36</v>
      </c>
      <c r="B36" s="425">
        <v>57</v>
      </c>
      <c r="C36" s="190" t="s">
        <v>103</v>
      </c>
      <c r="D36" s="451" t="s">
        <v>107</v>
      </c>
      <c r="E36" s="848">
        <f>Basisgegevens!D52+Basisgegevens!D77</f>
        <v>0</v>
      </c>
      <c r="F36" s="2198" t="s">
        <v>447</v>
      </c>
      <c r="G36" s="848">
        <f>Basisgegevens!F52+Basisgegevens!F77</f>
        <v>0</v>
      </c>
      <c r="H36" s="2200" t="s">
        <v>447</v>
      </c>
      <c r="I36" s="887" t="s">
        <v>269</v>
      </c>
    </row>
    <row r="37" spans="1:9" ht="29.4" outlineLevel="1" thickBot="1" x14ac:dyDescent="0.35">
      <c r="A37" s="364">
        <v>37</v>
      </c>
      <c r="B37" s="184">
        <v>58</v>
      </c>
      <c r="C37" s="191" t="s">
        <v>104</v>
      </c>
      <c r="D37" s="452" t="s">
        <v>113</v>
      </c>
      <c r="E37" s="935">
        <f>Basisgegevens!D78</f>
        <v>0</v>
      </c>
      <c r="F37" s="2211"/>
      <c r="G37" s="935">
        <f>Basisgegevens!F78</f>
        <v>0</v>
      </c>
      <c r="H37" s="2210"/>
      <c r="I37" s="903" t="s">
        <v>252</v>
      </c>
    </row>
    <row r="38" spans="1:9" ht="16.2" thickBot="1" x14ac:dyDescent="0.35">
      <c r="A38" s="439">
        <v>38</v>
      </c>
      <c r="B38" s="959">
        <v>59</v>
      </c>
      <c r="C38" s="960" t="s">
        <v>366</v>
      </c>
      <c r="D38" s="961"/>
      <c r="E38" s="962">
        <f>IF(E41&gt;0,"Zie Post 60",E29-SUM(E32:E35)+E37)</f>
        <v>0</v>
      </c>
      <c r="F38" s="963">
        <f>E38</f>
        <v>0</v>
      </c>
      <c r="G38" s="962">
        <f>IF(G41&gt;0,"Zie Post 60",G29-SUM(G32:G35)+G37)</f>
        <v>0</v>
      </c>
      <c r="H38" s="964">
        <f>G38</f>
        <v>0</v>
      </c>
      <c r="I38" s="965" t="s">
        <v>266</v>
      </c>
    </row>
    <row r="39" spans="1:9" outlineLevel="1" x14ac:dyDescent="0.3">
      <c r="A39" s="362">
        <v>39</v>
      </c>
      <c r="B39" s="182"/>
      <c r="C39" s="189"/>
      <c r="D39" s="469"/>
      <c r="E39" s="958"/>
      <c r="F39" s="946"/>
      <c r="G39" s="958"/>
      <c r="H39" s="947"/>
      <c r="I39" s="955"/>
    </row>
    <row r="40" spans="1:9" ht="15" outlineLevel="1" thickBot="1" x14ac:dyDescent="0.35">
      <c r="A40" s="364">
        <v>40</v>
      </c>
      <c r="B40" s="360"/>
      <c r="C40" s="193" t="s">
        <v>115</v>
      </c>
      <c r="D40" s="361"/>
      <c r="E40" s="986"/>
      <c r="F40" s="976"/>
      <c r="G40" s="986"/>
      <c r="H40" s="977"/>
      <c r="I40" s="1152"/>
    </row>
    <row r="41" spans="1:9" ht="58.2" outlineLevel="1" thickBot="1" x14ac:dyDescent="0.35">
      <c r="A41" s="439">
        <v>41</v>
      </c>
      <c r="B41" s="186">
        <v>60</v>
      </c>
      <c r="C41" s="194" t="s">
        <v>946</v>
      </c>
      <c r="D41" s="458"/>
      <c r="E41" s="1860">
        <f>Basisgegevens!C81</f>
        <v>0</v>
      </c>
      <c r="F41" s="1122" t="s">
        <v>447</v>
      </c>
      <c r="G41" s="1860">
        <f>Basisgegevens!E81</f>
        <v>0</v>
      </c>
      <c r="H41" s="1123" t="s">
        <v>447</v>
      </c>
      <c r="I41" s="1158" t="s">
        <v>947</v>
      </c>
    </row>
    <row r="42" spans="1:9" ht="15" outlineLevel="1" thickBot="1" x14ac:dyDescent="0.35">
      <c r="A42" s="362">
        <v>42</v>
      </c>
      <c r="B42" s="726"/>
      <c r="C42" s="727"/>
      <c r="D42" s="1153"/>
      <c r="E42" s="1154"/>
      <c r="F42" s="1155"/>
      <c r="G42" s="1154"/>
      <c r="H42" s="1156"/>
      <c r="I42" s="1157"/>
    </row>
    <row r="43" spans="1:9" ht="18.600000000000001" thickBot="1" x14ac:dyDescent="0.35">
      <c r="A43" s="364">
        <v>43</v>
      </c>
      <c r="B43" s="966"/>
      <c r="C43" s="967" t="s">
        <v>5</v>
      </c>
      <c r="D43" s="968"/>
      <c r="E43" s="969"/>
      <c r="F43" s="970"/>
      <c r="G43" s="969"/>
      <c r="H43" s="971"/>
      <c r="I43" s="972"/>
    </row>
    <row r="44" spans="1:9" outlineLevel="1" x14ac:dyDescent="0.3">
      <c r="A44" s="439">
        <v>44</v>
      </c>
      <c r="B44" s="182">
        <v>61</v>
      </c>
      <c r="C44" s="1518" t="s">
        <v>6</v>
      </c>
      <c r="D44" s="450" t="s">
        <v>107</v>
      </c>
      <c r="E44" s="1522">
        <v>0</v>
      </c>
      <c r="F44" s="2212" t="s">
        <v>447</v>
      </c>
      <c r="G44" s="1522">
        <v>0</v>
      </c>
      <c r="H44" s="2215" t="s">
        <v>447</v>
      </c>
      <c r="I44" s="1535" t="s">
        <v>381</v>
      </c>
    </row>
    <row r="45" spans="1:9" ht="28.8" outlineLevel="1" x14ac:dyDescent="0.3">
      <c r="A45" s="362">
        <v>45</v>
      </c>
      <c r="B45" s="183">
        <v>62</v>
      </c>
      <c r="C45" s="190" t="s">
        <v>290</v>
      </c>
      <c r="D45" s="451" t="s">
        <v>107</v>
      </c>
      <c r="E45" s="853">
        <v>0</v>
      </c>
      <c r="F45" s="2213"/>
      <c r="G45" s="853">
        <v>0</v>
      </c>
      <c r="H45" s="2216"/>
      <c r="I45" s="887" t="s">
        <v>270</v>
      </c>
    </row>
    <row r="46" spans="1:9" ht="15" outlineLevel="1" thickBot="1" x14ac:dyDescent="0.35">
      <c r="A46" s="364">
        <v>46</v>
      </c>
      <c r="B46" s="184">
        <v>63</v>
      </c>
      <c r="C46" s="1519" t="s">
        <v>7</v>
      </c>
      <c r="D46" s="460" t="s">
        <v>107</v>
      </c>
      <c r="E46" s="1523">
        <v>0</v>
      </c>
      <c r="F46" s="2214"/>
      <c r="G46" s="1523">
        <v>0</v>
      </c>
      <c r="H46" s="2217"/>
      <c r="I46" s="1536" t="s">
        <v>381</v>
      </c>
    </row>
    <row r="47" spans="1:9" ht="15.6" x14ac:dyDescent="0.3">
      <c r="A47" s="439">
        <v>47</v>
      </c>
      <c r="B47" s="725">
        <v>64</v>
      </c>
      <c r="C47" s="927" t="s">
        <v>16</v>
      </c>
      <c r="D47" s="928" t="s">
        <v>116</v>
      </c>
      <c r="E47" s="929">
        <f>IF(E41&gt;0,E41-SUM(E44:E46),E38-SUM(E44:E46))</f>
        <v>0</v>
      </c>
      <c r="F47" s="930">
        <f>E47</f>
        <v>0</v>
      </c>
      <c r="G47" s="929">
        <f>IF(G41&gt;0,G41-SUM(G44:G46),G38-SUM(G44:G46))</f>
        <v>0</v>
      </c>
      <c r="H47" s="931">
        <f>G47</f>
        <v>0</v>
      </c>
      <c r="I47" s="932" t="s">
        <v>936</v>
      </c>
    </row>
    <row r="48" spans="1:9" ht="15" thickBot="1" x14ac:dyDescent="0.35">
      <c r="A48" s="362">
        <v>48</v>
      </c>
      <c r="B48" s="662"/>
      <c r="C48" s="973"/>
      <c r="D48" s="974"/>
      <c r="E48" s="975"/>
      <c r="F48" s="976"/>
      <c r="G48" s="975"/>
      <c r="H48" s="977"/>
      <c r="I48" s="978"/>
    </row>
    <row r="49" spans="1:9" ht="18.600000000000001" thickBot="1" x14ac:dyDescent="0.35">
      <c r="A49" s="364">
        <v>49</v>
      </c>
      <c r="B49" s="352"/>
      <c r="C49" s="210" t="s">
        <v>9</v>
      </c>
      <c r="D49" s="459"/>
      <c r="E49" s="911"/>
      <c r="F49" s="980"/>
      <c r="G49" s="911"/>
      <c r="H49" s="981"/>
      <c r="I49" s="914"/>
    </row>
    <row r="50" spans="1:9" outlineLevel="1" x14ac:dyDescent="0.3">
      <c r="A50" s="439">
        <v>50</v>
      </c>
      <c r="B50" s="182">
        <v>65</v>
      </c>
      <c r="C50" s="189" t="s">
        <v>10</v>
      </c>
      <c r="D50" s="450" t="s">
        <v>113</v>
      </c>
      <c r="E50" s="982">
        <v>0</v>
      </c>
      <c r="F50" s="2212" t="s">
        <v>447</v>
      </c>
      <c r="G50" s="982">
        <v>0</v>
      </c>
      <c r="H50" s="2215" t="s">
        <v>447</v>
      </c>
      <c r="I50" s="955"/>
    </row>
    <row r="51" spans="1:9" outlineLevel="1" x14ac:dyDescent="0.3">
      <c r="A51" s="362">
        <v>51</v>
      </c>
      <c r="B51" s="425" t="s">
        <v>499</v>
      </c>
      <c r="C51" s="197" t="s">
        <v>500</v>
      </c>
      <c r="D51" s="451" t="s">
        <v>113</v>
      </c>
      <c r="E51" s="853">
        <v>0</v>
      </c>
      <c r="F51" s="2203"/>
      <c r="G51" s="853">
        <v>0</v>
      </c>
      <c r="H51" s="2205"/>
      <c r="I51" s="887"/>
    </row>
    <row r="52" spans="1:9" outlineLevel="1" x14ac:dyDescent="0.3">
      <c r="A52" s="364">
        <v>52</v>
      </c>
      <c r="B52" s="425"/>
      <c r="C52" s="826" t="s">
        <v>594</v>
      </c>
      <c r="D52" s="841"/>
      <c r="E52" s="848">
        <f>SUM(E50:E51)</f>
        <v>0</v>
      </c>
      <c r="F52" s="2203"/>
      <c r="G52" s="848">
        <f>SUM(G50:G51)</f>
        <v>0</v>
      </c>
      <c r="H52" s="2205"/>
      <c r="I52" s="887"/>
    </row>
    <row r="53" spans="1:9" outlineLevel="1" x14ac:dyDescent="0.3">
      <c r="A53" s="439">
        <v>53</v>
      </c>
      <c r="B53" s="183">
        <v>66</v>
      </c>
      <c r="C53" s="741" t="s">
        <v>11</v>
      </c>
      <c r="D53" s="451" t="s">
        <v>113</v>
      </c>
      <c r="E53" s="853">
        <v>0</v>
      </c>
      <c r="F53" s="2203"/>
      <c r="G53" s="853">
        <v>0</v>
      </c>
      <c r="H53" s="2205"/>
      <c r="I53" s="887"/>
    </row>
    <row r="54" spans="1:9" outlineLevel="1" x14ac:dyDescent="0.3">
      <c r="A54" s="362">
        <v>54</v>
      </c>
      <c r="B54" s="183">
        <v>67</v>
      </c>
      <c r="C54" s="741" t="s">
        <v>12</v>
      </c>
      <c r="D54" s="451" t="s">
        <v>107</v>
      </c>
      <c r="E54" s="853">
        <v>0</v>
      </c>
      <c r="F54" s="2203"/>
      <c r="G54" s="853">
        <v>0</v>
      </c>
      <c r="H54" s="2205"/>
      <c r="I54" s="887"/>
    </row>
    <row r="55" spans="1:9" outlineLevel="1" x14ac:dyDescent="0.3">
      <c r="A55" s="364">
        <v>55</v>
      </c>
      <c r="B55" s="183">
        <v>68</v>
      </c>
      <c r="C55" s="1512" t="s">
        <v>13</v>
      </c>
      <c r="D55" s="451" t="s">
        <v>107</v>
      </c>
      <c r="E55" s="1514">
        <v>0</v>
      </c>
      <c r="F55" s="2203"/>
      <c r="G55" s="1514">
        <v>0</v>
      </c>
      <c r="H55" s="2205"/>
      <c r="I55" s="1517" t="s">
        <v>381</v>
      </c>
    </row>
    <row r="56" spans="1:9" ht="15" outlineLevel="1" thickBot="1" x14ac:dyDescent="0.35">
      <c r="A56" s="439">
        <v>56</v>
      </c>
      <c r="B56" s="184">
        <v>69</v>
      </c>
      <c r="C56" s="740" t="s">
        <v>14</v>
      </c>
      <c r="D56" s="452" t="s">
        <v>107</v>
      </c>
      <c r="E56" s="983">
        <v>0</v>
      </c>
      <c r="F56" s="2211"/>
      <c r="G56" s="983">
        <v>0</v>
      </c>
      <c r="H56" s="2210"/>
      <c r="I56" s="903"/>
    </row>
    <row r="57" spans="1:9" ht="16.2" thickBot="1" x14ac:dyDescent="0.35">
      <c r="A57" s="362">
        <v>57</v>
      </c>
      <c r="B57" s="959">
        <v>70</v>
      </c>
      <c r="C57" s="960" t="s">
        <v>17</v>
      </c>
      <c r="D57" s="961"/>
      <c r="E57" s="962">
        <f>(E50+E53)-SUM(E54:E56)</f>
        <v>0</v>
      </c>
      <c r="F57" s="963">
        <f>E57</f>
        <v>0</v>
      </c>
      <c r="G57" s="962">
        <f>(G50+G53)-SUM(G54:G56)</f>
        <v>0</v>
      </c>
      <c r="H57" s="964">
        <f>G57</f>
        <v>0</v>
      </c>
      <c r="I57" s="965" t="s">
        <v>271</v>
      </c>
    </row>
    <row r="58" spans="1:9" outlineLevel="1" x14ac:dyDescent="0.3">
      <c r="A58" s="364">
        <v>58</v>
      </c>
      <c r="B58" s="182"/>
      <c r="C58" s="189"/>
      <c r="D58" s="984"/>
      <c r="E58" s="958"/>
      <c r="F58" s="984"/>
      <c r="G58" s="958"/>
      <c r="H58" s="947"/>
      <c r="I58" s="955"/>
    </row>
    <row r="59" spans="1:9" ht="15" outlineLevel="1" thickBot="1" x14ac:dyDescent="0.35">
      <c r="A59" s="439">
        <v>59</v>
      </c>
      <c r="B59" s="360"/>
      <c r="C59" s="231" t="s">
        <v>15</v>
      </c>
      <c r="D59" s="361"/>
      <c r="E59" s="986"/>
      <c r="F59" s="976"/>
      <c r="G59" s="986"/>
      <c r="H59" s="977"/>
      <c r="I59" s="1152"/>
    </row>
    <row r="60" spans="1:9" outlineLevel="1" x14ac:dyDescent="0.3">
      <c r="A60" s="362">
        <v>60</v>
      </c>
      <c r="B60" s="182">
        <v>71</v>
      </c>
      <c r="C60" s="189" t="s">
        <v>618</v>
      </c>
      <c r="D60" s="450" t="s">
        <v>107</v>
      </c>
      <c r="E60" s="700">
        <f>IF(Basisgegevens!D94="Ja",IF(YEAR(Basisgegevens!C$9)&lt;Basisgegevens!$C$16,Basisgegevens!$C$94/2,Basisgegevens!$C$94),0)</f>
        <v>0</v>
      </c>
      <c r="F60" s="2223" t="s">
        <v>447</v>
      </c>
      <c r="G60" s="700">
        <f>IF(Basisgegevens!E94="Ja",IF(YEAR(Basisgegevens!D$9)&lt;Basisgegevens!$C$16,Basisgegevens!$C$94/2,Basisgegevens!$C$94),0)</f>
        <v>0</v>
      </c>
      <c r="H60" s="2215" t="s">
        <v>447</v>
      </c>
      <c r="I60" s="955" t="s">
        <v>700</v>
      </c>
    </row>
    <row r="61" spans="1:9" outlineLevel="1" x14ac:dyDescent="0.3">
      <c r="A61" s="364">
        <v>61</v>
      </c>
      <c r="B61" s="183"/>
      <c r="C61" s="200" t="s">
        <v>595</v>
      </c>
      <c r="D61" s="451" t="s">
        <v>107</v>
      </c>
      <c r="E61" s="701">
        <f>IF(Basisgegevens!D95="Ja",IF(YEAR(Basisgegevens!C$9)&lt;Basisgegevens!$C$16,Basisgegevens!$C$95/2,Basisgegevens!$C$95),0)</f>
        <v>0</v>
      </c>
      <c r="F61" s="2224"/>
      <c r="G61" s="848">
        <f>IF(Basisgegevens!E95="Ja",IF(YEAR(Basisgegevens!D$9)&lt;Basisgegevens!$C$16,Basisgegevens!$C$95/2,Basisgegevens!$C$95),0)</f>
        <v>0</v>
      </c>
      <c r="H61" s="2200"/>
      <c r="I61" s="887" t="s">
        <v>700</v>
      </c>
    </row>
    <row r="62" spans="1:9" outlineLevel="1" x14ac:dyDescent="0.3">
      <c r="A62" s="439">
        <v>62</v>
      </c>
      <c r="B62" s="183">
        <v>72</v>
      </c>
      <c r="C62" s="190" t="s">
        <v>18</v>
      </c>
      <c r="D62" s="451" t="s">
        <v>107</v>
      </c>
      <c r="E62" s="701">
        <f>Basisgegevens!D101</f>
        <v>0</v>
      </c>
      <c r="F62" s="2225"/>
      <c r="G62" s="848">
        <f>Basisgegevens!E101</f>
        <v>0</v>
      </c>
      <c r="H62" s="2216"/>
      <c r="I62" s="887"/>
    </row>
    <row r="63" spans="1:9" outlineLevel="1" x14ac:dyDescent="0.3">
      <c r="A63" s="362">
        <v>63</v>
      </c>
      <c r="B63" s="183">
        <v>73</v>
      </c>
      <c r="C63" s="190" t="s">
        <v>19</v>
      </c>
      <c r="D63" s="451" t="s">
        <v>107</v>
      </c>
      <c r="E63" s="701">
        <f>Basisgegevens!D110*E57</f>
        <v>0</v>
      </c>
      <c r="F63" s="2225"/>
      <c r="G63" s="848">
        <f>Basisgegevens!E110*G57</f>
        <v>0</v>
      </c>
      <c r="H63" s="2216"/>
      <c r="I63" s="887"/>
    </row>
    <row r="64" spans="1:9" outlineLevel="1" x14ac:dyDescent="0.3">
      <c r="A64" s="364">
        <v>64</v>
      </c>
      <c r="B64" s="183">
        <v>74</v>
      </c>
      <c r="C64" s="190" t="s">
        <v>598</v>
      </c>
      <c r="D64" s="451" t="s">
        <v>107</v>
      </c>
      <c r="E64" s="702">
        <v>0</v>
      </c>
      <c r="F64" s="2225"/>
      <c r="G64" s="853">
        <v>0</v>
      </c>
      <c r="H64" s="2216"/>
      <c r="I64" s="887"/>
    </row>
    <row r="65" spans="1:9" ht="15" outlineLevel="1" thickBot="1" x14ac:dyDescent="0.35">
      <c r="A65" s="439">
        <v>65</v>
      </c>
      <c r="B65" s="184"/>
      <c r="C65" s="678" t="s">
        <v>596</v>
      </c>
      <c r="D65" s="452" t="s">
        <v>107</v>
      </c>
      <c r="E65" s="703">
        <f>(E57-SUM(E60:E64))*Basisgegevens!$C$147</f>
        <v>0</v>
      </c>
      <c r="F65" s="2226"/>
      <c r="G65" s="935">
        <f>(G57-SUM(G60:G64))*Basisgegevens!$C$147</f>
        <v>0</v>
      </c>
      <c r="H65" s="2217"/>
      <c r="I65" s="903"/>
    </row>
    <row r="66" spans="1:9" ht="16.2" thickBot="1" x14ac:dyDescent="0.35">
      <c r="A66" s="362">
        <v>66</v>
      </c>
      <c r="B66" s="959">
        <v>75</v>
      </c>
      <c r="C66" s="960" t="s">
        <v>20</v>
      </c>
      <c r="D66" s="961" t="s">
        <v>121</v>
      </c>
      <c r="E66" s="962">
        <f>E57-SUM(E60:E65)</f>
        <v>0</v>
      </c>
      <c r="F66" s="963">
        <f>E66</f>
        <v>0</v>
      </c>
      <c r="G66" s="962">
        <f>G57-SUM(G60:G65)</f>
        <v>0</v>
      </c>
      <c r="H66" s="964">
        <f>G66</f>
        <v>0</v>
      </c>
      <c r="I66" s="965" t="s">
        <v>272</v>
      </c>
    </row>
    <row r="67" spans="1:9" outlineLevel="1" x14ac:dyDescent="0.3">
      <c r="A67" s="364">
        <v>67</v>
      </c>
      <c r="B67" s="182"/>
      <c r="C67" s="189"/>
      <c r="D67" s="469"/>
      <c r="E67" s="958"/>
      <c r="F67" s="946"/>
      <c r="G67" s="958"/>
      <c r="H67" s="947"/>
      <c r="I67" s="955"/>
    </row>
    <row r="68" spans="1:9" outlineLevel="1" x14ac:dyDescent="0.3">
      <c r="A68" s="439">
        <v>68</v>
      </c>
      <c r="B68" s="183">
        <v>76</v>
      </c>
      <c r="C68" s="190" t="s">
        <v>22</v>
      </c>
      <c r="D68" s="451" t="s">
        <v>113</v>
      </c>
      <c r="E68" s="853">
        <v>0</v>
      </c>
      <c r="F68" s="2198" t="s">
        <v>447</v>
      </c>
      <c r="G68" s="853">
        <v>0</v>
      </c>
      <c r="H68" s="2200" t="s">
        <v>447</v>
      </c>
      <c r="I68" s="887"/>
    </row>
    <row r="69" spans="1:9" ht="15" outlineLevel="1" thickBot="1" x14ac:dyDescent="0.35">
      <c r="A69" s="362">
        <v>69</v>
      </c>
      <c r="B69" s="184">
        <v>77</v>
      </c>
      <c r="C69" s="191" t="s">
        <v>11</v>
      </c>
      <c r="D69" s="452" t="s">
        <v>113</v>
      </c>
      <c r="E69" s="983">
        <v>0</v>
      </c>
      <c r="F69" s="2214"/>
      <c r="G69" s="983">
        <v>0</v>
      </c>
      <c r="H69" s="2217"/>
      <c r="I69" s="903"/>
    </row>
    <row r="70" spans="1:9" ht="16.2" thickBot="1" x14ac:dyDescent="0.35">
      <c r="A70" s="364">
        <v>70</v>
      </c>
      <c r="B70" s="959">
        <v>78</v>
      </c>
      <c r="C70" s="960" t="s">
        <v>23</v>
      </c>
      <c r="D70" s="985" t="s">
        <v>124</v>
      </c>
      <c r="E70" s="962">
        <f>SUM(E68:E69)</f>
        <v>0</v>
      </c>
      <c r="F70" s="963">
        <f>E70</f>
        <v>0</v>
      </c>
      <c r="G70" s="962">
        <f>SUM(G68:G69)</f>
        <v>0</v>
      </c>
      <c r="H70" s="964">
        <f>G70</f>
        <v>0</v>
      </c>
      <c r="I70" s="1160" t="s">
        <v>501</v>
      </c>
    </row>
    <row r="71" spans="1:9" outlineLevel="1" x14ac:dyDescent="0.3">
      <c r="A71" s="439">
        <v>71</v>
      </c>
      <c r="B71" s="182"/>
      <c r="C71" s="189"/>
      <c r="D71" s="469"/>
      <c r="E71" s="958"/>
      <c r="F71" s="946"/>
      <c r="G71" s="958"/>
      <c r="H71" s="947"/>
      <c r="I71" s="955"/>
    </row>
    <row r="72" spans="1:9" ht="28.8" outlineLevel="1" x14ac:dyDescent="0.3">
      <c r="A72" s="362">
        <v>72</v>
      </c>
      <c r="B72" s="183">
        <v>79</v>
      </c>
      <c r="C72" s="190" t="s">
        <v>24</v>
      </c>
      <c r="D72" s="451" t="s">
        <v>113</v>
      </c>
      <c r="E72" s="853">
        <v>0</v>
      </c>
      <c r="F72" s="2198" t="s">
        <v>447</v>
      </c>
      <c r="G72" s="853">
        <v>0</v>
      </c>
      <c r="H72" s="2200" t="s">
        <v>447</v>
      </c>
      <c r="I72" s="887" t="s">
        <v>273</v>
      </c>
    </row>
    <row r="73" spans="1:9" ht="15" outlineLevel="1" thickBot="1" x14ac:dyDescent="0.35">
      <c r="A73" s="364">
        <v>73</v>
      </c>
      <c r="B73" s="187">
        <v>80</v>
      </c>
      <c r="C73" s="1519" t="s">
        <v>25</v>
      </c>
      <c r="D73" s="460" t="s">
        <v>107</v>
      </c>
      <c r="E73" s="1523">
        <v>0</v>
      </c>
      <c r="F73" s="2214"/>
      <c r="G73" s="1523">
        <v>0</v>
      </c>
      <c r="H73" s="2217"/>
      <c r="I73" s="1536" t="s">
        <v>381</v>
      </c>
    </row>
    <row r="74" spans="1:9" ht="15.6" x14ac:dyDescent="0.3">
      <c r="A74" s="439">
        <v>74</v>
      </c>
      <c r="B74" s="725">
        <v>81</v>
      </c>
      <c r="C74" s="927" t="s">
        <v>26</v>
      </c>
      <c r="D74" s="928" t="s">
        <v>122</v>
      </c>
      <c r="E74" s="929">
        <f>E72-E73</f>
        <v>0</v>
      </c>
      <c r="F74" s="930">
        <f>E74</f>
        <v>0</v>
      </c>
      <c r="G74" s="929">
        <f>G72-G73</f>
        <v>0</v>
      </c>
      <c r="H74" s="931">
        <f>G74</f>
        <v>0</v>
      </c>
      <c r="I74" s="1159" t="s">
        <v>502</v>
      </c>
    </row>
    <row r="75" spans="1:9" ht="15" thickBot="1" x14ac:dyDescent="0.35">
      <c r="A75" s="362">
        <v>75</v>
      </c>
      <c r="B75" s="360"/>
      <c r="C75" s="209"/>
      <c r="D75" s="361"/>
      <c r="E75" s="986"/>
      <c r="F75" s="976"/>
      <c r="G75" s="986"/>
      <c r="H75" s="977"/>
      <c r="I75" s="987"/>
    </row>
    <row r="76" spans="1:9" ht="18.600000000000001" thickBot="1" x14ac:dyDescent="0.35">
      <c r="A76" s="364">
        <v>76</v>
      </c>
      <c r="B76" s="352"/>
      <c r="C76" s="210" t="s">
        <v>490</v>
      </c>
      <c r="D76" s="459"/>
      <c r="E76" s="911"/>
      <c r="F76" s="980"/>
      <c r="G76" s="911"/>
      <c r="H76" s="981"/>
      <c r="I76" s="988"/>
    </row>
    <row r="77" spans="1:9" ht="28.8" outlineLevel="1" x14ac:dyDescent="0.3">
      <c r="A77" s="439">
        <v>77</v>
      </c>
      <c r="B77" s="205">
        <v>82</v>
      </c>
      <c r="C77" s="192" t="s">
        <v>117</v>
      </c>
      <c r="D77" s="455" t="s">
        <v>113</v>
      </c>
      <c r="E77" s="910">
        <f>Basisgegevens!E116+Basisgegevens!G128</f>
        <v>0</v>
      </c>
      <c r="F77" s="2189" t="s">
        <v>447</v>
      </c>
      <c r="G77" s="910">
        <f>Basisgegevens!G116+Basisgegevens!E128</f>
        <v>0</v>
      </c>
      <c r="H77" s="2192" t="s">
        <v>447</v>
      </c>
      <c r="I77" s="950" t="s">
        <v>274</v>
      </c>
    </row>
    <row r="78" spans="1:9" outlineLevel="1" x14ac:dyDescent="0.3">
      <c r="A78" s="362">
        <v>78</v>
      </c>
      <c r="B78" s="183">
        <v>83</v>
      </c>
      <c r="C78" s="190" t="s">
        <v>275</v>
      </c>
      <c r="D78" s="451" t="s">
        <v>107</v>
      </c>
      <c r="E78" s="910">
        <f>Basisgegevens!E120+Basisgegevens!G132</f>
        <v>0</v>
      </c>
      <c r="F78" s="2213"/>
      <c r="G78" s="848">
        <f>Basisgegevens!G120+Basisgegevens!E132</f>
        <v>0</v>
      </c>
      <c r="H78" s="2216"/>
      <c r="I78" s="887" t="s">
        <v>274</v>
      </c>
    </row>
    <row r="79" spans="1:9" ht="15" outlineLevel="1" thickBot="1" x14ac:dyDescent="0.35">
      <c r="A79" s="364">
        <v>79</v>
      </c>
      <c r="B79" s="360">
        <v>84</v>
      </c>
      <c r="C79" s="209" t="s">
        <v>85</v>
      </c>
      <c r="D79" s="462" t="s">
        <v>107</v>
      </c>
      <c r="E79" s="989">
        <f>(Basisgegevens!E121+Basisgegevens!G133)*12</f>
        <v>0</v>
      </c>
      <c r="F79" s="2202"/>
      <c r="G79" s="989">
        <f>(Basisgegevens!G121+Basisgegevens!E133)*12</f>
        <v>0</v>
      </c>
      <c r="H79" s="2227"/>
      <c r="I79" s="987" t="s">
        <v>274</v>
      </c>
    </row>
    <row r="80" spans="1:9" ht="16.2" thickBot="1" x14ac:dyDescent="0.35">
      <c r="A80" s="439">
        <v>80</v>
      </c>
      <c r="B80" s="420">
        <v>85</v>
      </c>
      <c r="C80" s="428" t="s">
        <v>27</v>
      </c>
      <c r="D80" s="461" t="s">
        <v>123</v>
      </c>
      <c r="E80" s="940">
        <f>E77-SUM(E78:E79)</f>
        <v>0</v>
      </c>
      <c r="F80" s="941">
        <v>0</v>
      </c>
      <c r="G80" s="940">
        <f>G77-SUM(G78:G79)</f>
        <v>0</v>
      </c>
      <c r="H80" s="942">
        <v>0</v>
      </c>
      <c r="I80" s="991" t="s">
        <v>510</v>
      </c>
    </row>
    <row r="81" spans="1:9" x14ac:dyDescent="0.3">
      <c r="A81" s="362">
        <v>81</v>
      </c>
      <c r="B81" s="205"/>
      <c r="C81" s="192"/>
      <c r="D81" s="457"/>
      <c r="E81" s="936"/>
      <c r="F81" s="937"/>
      <c r="G81" s="936"/>
      <c r="H81" s="938"/>
      <c r="I81" s="990"/>
    </row>
    <row r="82" spans="1:9" ht="18" x14ac:dyDescent="0.3">
      <c r="A82" s="364">
        <v>82</v>
      </c>
      <c r="B82" s="833"/>
      <c r="C82" s="825" t="s">
        <v>491</v>
      </c>
      <c r="D82" s="840"/>
      <c r="E82" s="847"/>
      <c r="F82" s="872"/>
      <c r="G82" s="847"/>
      <c r="H82" s="852"/>
      <c r="I82" s="891"/>
    </row>
    <row r="83" spans="1:9" ht="28.8" outlineLevel="1" x14ac:dyDescent="0.3">
      <c r="A83" s="439">
        <v>83</v>
      </c>
      <c r="B83" s="183">
        <v>86</v>
      </c>
      <c r="C83" s="190" t="s">
        <v>28</v>
      </c>
      <c r="D83" s="451" t="s">
        <v>113</v>
      </c>
      <c r="E83" s="853">
        <v>0</v>
      </c>
      <c r="F83" s="2198" t="s">
        <v>447</v>
      </c>
      <c r="G83" s="853">
        <v>0</v>
      </c>
      <c r="H83" s="2200" t="s">
        <v>447</v>
      </c>
      <c r="I83" s="887" t="s">
        <v>279</v>
      </c>
    </row>
    <row r="84" spans="1:9" outlineLevel="1" x14ac:dyDescent="0.3">
      <c r="A84" s="362">
        <v>84</v>
      </c>
      <c r="B84" s="183">
        <v>87</v>
      </c>
      <c r="C84" s="197" t="s">
        <v>29</v>
      </c>
      <c r="D84" s="451" t="s">
        <v>113</v>
      </c>
      <c r="E84" s="853">
        <v>0</v>
      </c>
      <c r="F84" s="2213"/>
      <c r="G84" s="853">
        <v>0</v>
      </c>
      <c r="H84" s="2216"/>
      <c r="I84" s="892" t="s">
        <v>280</v>
      </c>
    </row>
    <row r="85" spans="1:9" ht="15" outlineLevel="1" thickBot="1" x14ac:dyDescent="0.35">
      <c r="A85" s="364">
        <v>85</v>
      </c>
      <c r="B85" s="992">
        <v>88</v>
      </c>
      <c r="C85" s="1520" t="s">
        <v>30</v>
      </c>
      <c r="D85" s="993" t="s">
        <v>113</v>
      </c>
      <c r="E85" s="1524">
        <v>0</v>
      </c>
      <c r="F85" s="2202"/>
      <c r="G85" s="1524">
        <v>0</v>
      </c>
      <c r="H85" s="2227"/>
      <c r="I85" s="1537" t="s">
        <v>381</v>
      </c>
    </row>
    <row r="86" spans="1:9" ht="16.2" thickBot="1" x14ac:dyDescent="0.35">
      <c r="A86" s="439">
        <v>86</v>
      </c>
      <c r="B86" s="420">
        <v>89</v>
      </c>
      <c r="C86" s="428" t="s">
        <v>31</v>
      </c>
      <c r="D86" s="679" t="s">
        <v>125</v>
      </c>
      <c r="E86" s="940">
        <f>SUM(E83:E85)</f>
        <v>0</v>
      </c>
      <c r="F86" s="941">
        <f>E86</f>
        <v>0</v>
      </c>
      <c r="G86" s="940">
        <f>SUM(G83:G85)</f>
        <v>0</v>
      </c>
      <c r="H86" s="942">
        <f>G86</f>
        <v>0</v>
      </c>
      <c r="I86" s="994" t="s">
        <v>281</v>
      </c>
    </row>
    <row r="87" spans="1:9" ht="15" outlineLevel="1" thickBot="1" x14ac:dyDescent="0.35">
      <c r="A87" s="362">
        <v>87</v>
      </c>
      <c r="B87" s="359"/>
      <c r="C87" s="217"/>
      <c r="D87" s="440"/>
      <c r="E87" s="995"/>
      <c r="F87" s="996"/>
      <c r="G87" s="995"/>
      <c r="H87" s="997"/>
      <c r="I87" s="998"/>
    </row>
    <row r="88" spans="1:9" ht="29.4" thickBot="1" x14ac:dyDescent="0.35">
      <c r="A88" s="364">
        <v>88</v>
      </c>
      <c r="B88" s="420">
        <v>90</v>
      </c>
      <c r="C88" s="428" t="s">
        <v>32</v>
      </c>
      <c r="D88" s="679" t="s">
        <v>126</v>
      </c>
      <c r="E88" s="1001">
        <v>0</v>
      </c>
      <c r="F88" s="941">
        <f>E88</f>
        <v>0</v>
      </c>
      <c r="G88" s="1001">
        <v>0</v>
      </c>
      <c r="H88" s="942">
        <f>G88</f>
        <v>0</v>
      </c>
      <c r="I88" s="994" t="s">
        <v>293</v>
      </c>
    </row>
    <row r="89" spans="1:9" outlineLevel="1" x14ac:dyDescent="0.3">
      <c r="A89" s="439">
        <v>89</v>
      </c>
      <c r="B89" s="205"/>
      <c r="C89" s="192"/>
      <c r="D89" s="457"/>
      <c r="E89" s="956"/>
      <c r="F89" s="999"/>
      <c r="G89" s="956"/>
      <c r="H89" s="1000"/>
      <c r="I89" s="950"/>
    </row>
    <row r="90" spans="1:9" ht="28.8" outlineLevel="1" x14ac:dyDescent="0.3">
      <c r="A90" s="362">
        <v>90</v>
      </c>
      <c r="B90" s="183">
        <v>91</v>
      </c>
      <c r="C90" s="197" t="str">
        <f>CONCATENATE("Buitengewone uitgaven (minus een drempel van € ",ROUND(Basisgegevens!Q168,0)," respectievelijk € ",ROUND(Basisgegevens!R168,0),")")</f>
        <v>Buitengewone uitgaven (minus een drempel van € 0 respectievelijk € 0)</v>
      </c>
      <c r="D90" s="451" t="s">
        <v>113</v>
      </c>
      <c r="E90" s="853">
        <v>0</v>
      </c>
      <c r="F90" s="2198" t="s">
        <v>447</v>
      </c>
      <c r="G90" s="853">
        <v>0</v>
      </c>
      <c r="H90" s="2200" t="s">
        <v>447</v>
      </c>
      <c r="I90" s="887" t="s">
        <v>292</v>
      </c>
    </row>
    <row r="91" spans="1:9" ht="60" customHeight="1" outlineLevel="1" thickBot="1" x14ac:dyDescent="0.35">
      <c r="A91" s="364">
        <v>91</v>
      </c>
      <c r="B91" s="360">
        <v>92</v>
      </c>
      <c r="C91" s="230" t="str">
        <f>CONCATENATE("Scholingsuitgaven (minus een drempel van € ",ROUND(Basisgegevens!N183,0)," / maximaal aftrekbaar: € ",ROUND(Basisgegevens!O183,0),")")</f>
        <v>Scholingsuitgaven (minus een drempel van € 250 / maximaal aftrekbaar: € 15000)</v>
      </c>
      <c r="D91" s="462" t="s">
        <v>113</v>
      </c>
      <c r="E91" s="1002">
        <v>0</v>
      </c>
      <c r="F91" s="2202"/>
      <c r="G91" s="1002">
        <v>0</v>
      </c>
      <c r="H91" s="2227"/>
      <c r="I91" s="987" t="s">
        <v>291</v>
      </c>
    </row>
    <row r="92" spans="1:9" ht="16.2" thickBot="1" x14ac:dyDescent="0.35">
      <c r="A92" s="439">
        <v>92</v>
      </c>
      <c r="B92" s="420">
        <v>93</v>
      </c>
      <c r="C92" s="428" t="s">
        <v>33</v>
      </c>
      <c r="D92" s="1003" t="s">
        <v>127</v>
      </c>
      <c r="E92" s="940">
        <f>SUM(E90:E91)</f>
        <v>0</v>
      </c>
      <c r="F92" s="1004">
        <f>E92</f>
        <v>0</v>
      </c>
      <c r="G92" s="940">
        <f>SUM(G90:G91)</f>
        <v>0</v>
      </c>
      <c r="H92" s="1005">
        <f>G92</f>
        <v>0</v>
      </c>
      <c r="I92" s="943" t="s">
        <v>503</v>
      </c>
    </row>
    <row r="93" spans="1:9" ht="15" thickBot="1" x14ac:dyDescent="0.35">
      <c r="A93" s="362">
        <v>93</v>
      </c>
      <c r="B93" s="359"/>
      <c r="C93" s="217"/>
      <c r="D93" s="440"/>
      <c r="E93" s="1006" t="s">
        <v>505</v>
      </c>
      <c r="F93" s="1007" t="s">
        <v>4</v>
      </c>
      <c r="G93" s="1006" t="s">
        <v>506</v>
      </c>
      <c r="H93" s="1008" t="s">
        <v>4</v>
      </c>
      <c r="I93" s="998"/>
    </row>
    <row r="94" spans="1:9" ht="18.600000000000001" thickBot="1" x14ac:dyDescent="0.35">
      <c r="A94" s="364">
        <v>94</v>
      </c>
      <c r="B94" s="352"/>
      <c r="C94" s="210" t="s">
        <v>492</v>
      </c>
      <c r="D94" s="459"/>
      <c r="E94" s="911"/>
      <c r="F94" s="912"/>
      <c r="G94" s="911"/>
      <c r="H94" s="913"/>
      <c r="I94" s="1015"/>
    </row>
    <row r="95" spans="1:9" outlineLevel="1" x14ac:dyDescent="0.3">
      <c r="A95" s="439">
        <v>95</v>
      </c>
      <c r="B95" s="1009">
        <f t="shared" ref="B95:H95" si="0">B47</f>
        <v>64</v>
      </c>
      <c r="C95" s="1010" t="str">
        <f t="shared" si="0"/>
        <v>Belastbaar loon:</v>
      </c>
      <c r="D95" s="1011" t="str">
        <f t="shared" si="0"/>
        <v>(a)</v>
      </c>
      <c r="E95" s="910">
        <f t="shared" si="0"/>
        <v>0</v>
      </c>
      <c r="F95" s="1012">
        <f t="shared" si="0"/>
        <v>0</v>
      </c>
      <c r="G95" s="910">
        <f t="shared" si="0"/>
        <v>0</v>
      </c>
      <c r="H95" s="1013">
        <f t="shared" si="0"/>
        <v>0</v>
      </c>
      <c r="I95" s="1014" t="s">
        <v>494</v>
      </c>
    </row>
    <row r="96" spans="1:9" outlineLevel="1" x14ac:dyDescent="0.3">
      <c r="A96" s="362">
        <v>96</v>
      </c>
      <c r="B96" s="715">
        <f t="shared" ref="B96:H96" si="1">B66</f>
        <v>75</v>
      </c>
      <c r="C96" s="716" t="str">
        <f t="shared" si="1"/>
        <v>Belastbare winst uit onderneming:</v>
      </c>
      <c r="D96" s="717" t="str">
        <f t="shared" si="1"/>
        <v>(b)</v>
      </c>
      <c r="E96" s="848">
        <f t="shared" si="1"/>
        <v>0</v>
      </c>
      <c r="F96" s="874">
        <f t="shared" si="1"/>
        <v>0</v>
      </c>
      <c r="G96" s="848">
        <f t="shared" si="1"/>
        <v>0</v>
      </c>
      <c r="H96" s="856">
        <f t="shared" si="1"/>
        <v>0</v>
      </c>
      <c r="I96" s="893" t="s">
        <v>494</v>
      </c>
    </row>
    <row r="97" spans="1:9" outlineLevel="1" x14ac:dyDescent="0.3">
      <c r="A97" s="364">
        <v>97</v>
      </c>
      <c r="B97" s="715">
        <f t="shared" ref="B97:H97" si="2">B70</f>
        <v>78</v>
      </c>
      <c r="C97" s="716" t="str">
        <f t="shared" si="2"/>
        <v>Belastbaar resultaat uit overige werkzaamheden:</v>
      </c>
      <c r="D97" s="717" t="str">
        <f t="shared" si="2"/>
        <v xml:space="preserve">(c) </v>
      </c>
      <c r="E97" s="848">
        <f t="shared" si="2"/>
        <v>0</v>
      </c>
      <c r="F97" s="874">
        <f t="shared" si="2"/>
        <v>0</v>
      </c>
      <c r="G97" s="848">
        <f t="shared" si="2"/>
        <v>0</v>
      </c>
      <c r="H97" s="856">
        <f t="shared" si="2"/>
        <v>0</v>
      </c>
      <c r="I97" s="893" t="s">
        <v>494</v>
      </c>
    </row>
    <row r="98" spans="1:9" outlineLevel="1" x14ac:dyDescent="0.3">
      <c r="A98" s="439">
        <v>98</v>
      </c>
      <c r="B98" s="183"/>
      <c r="C98" s="197" t="s">
        <v>493</v>
      </c>
      <c r="D98" s="464"/>
      <c r="E98" s="851"/>
      <c r="F98" s="842"/>
      <c r="G98" s="851"/>
      <c r="H98" s="854"/>
      <c r="I98" s="893" t="s">
        <v>494</v>
      </c>
    </row>
    <row r="99" spans="1:9" outlineLevel="1" x14ac:dyDescent="0.3">
      <c r="A99" s="362">
        <v>99</v>
      </c>
      <c r="B99" s="715">
        <f t="shared" ref="B99:H99" si="3">B74</f>
        <v>81</v>
      </c>
      <c r="C99" s="716" t="str">
        <f t="shared" si="3"/>
        <v>Belastbare periodieke uitkeringen en verstrekkingen:</v>
      </c>
      <c r="D99" s="717" t="str">
        <f t="shared" si="3"/>
        <v>(d)</v>
      </c>
      <c r="E99" s="848">
        <f t="shared" si="3"/>
        <v>0</v>
      </c>
      <c r="F99" s="874">
        <f t="shared" si="3"/>
        <v>0</v>
      </c>
      <c r="G99" s="848">
        <f t="shared" si="3"/>
        <v>0</v>
      </c>
      <c r="H99" s="856">
        <f t="shared" si="3"/>
        <v>0</v>
      </c>
      <c r="I99" s="893" t="s">
        <v>494</v>
      </c>
    </row>
    <row r="100" spans="1:9" outlineLevel="1" x14ac:dyDescent="0.3">
      <c r="A100" s="364">
        <v>100</v>
      </c>
      <c r="B100" s="715">
        <f t="shared" ref="B100:H100" si="4">B80</f>
        <v>85</v>
      </c>
      <c r="C100" s="716" t="str">
        <f t="shared" si="4"/>
        <v>Belastbaar inkomen uit eigen woning:</v>
      </c>
      <c r="D100" s="717" t="str">
        <f t="shared" si="4"/>
        <v xml:space="preserve">(e) </v>
      </c>
      <c r="E100" s="848">
        <f t="shared" si="4"/>
        <v>0</v>
      </c>
      <c r="F100" s="874">
        <f t="shared" si="4"/>
        <v>0</v>
      </c>
      <c r="G100" s="848">
        <f t="shared" si="4"/>
        <v>0</v>
      </c>
      <c r="H100" s="856">
        <f t="shared" si="4"/>
        <v>0</v>
      </c>
      <c r="I100" s="893" t="s">
        <v>494</v>
      </c>
    </row>
    <row r="101" spans="1:9" outlineLevel="1" x14ac:dyDescent="0.3">
      <c r="A101" s="439">
        <v>101</v>
      </c>
      <c r="B101" s="715">
        <f t="shared" ref="B101:H101" si="5">B86</f>
        <v>89</v>
      </c>
      <c r="C101" s="716" t="str">
        <f t="shared" si="5"/>
        <v>Uitgaven voor inkomensvoorziening:</v>
      </c>
      <c r="D101" s="717" t="str">
        <f t="shared" si="5"/>
        <v>(f)</v>
      </c>
      <c r="E101" s="848">
        <f t="shared" si="5"/>
        <v>0</v>
      </c>
      <c r="F101" s="874">
        <f t="shared" si="5"/>
        <v>0</v>
      </c>
      <c r="G101" s="848">
        <f t="shared" si="5"/>
        <v>0</v>
      </c>
      <c r="H101" s="856">
        <f t="shared" si="5"/>
        <v>0</v>
      </c>
      <c r="I101" s="893" t="s">
        <v>494</v>
      </c>
    </row>
    <row r="102" spans="1:9" outlineLevel="1" x14ac:dyDescent="0.3">
      <c r="A102" s="362">
        <v>102</v>
      </c>
      <c r="B102" s="715">
        <f t="shared" ref="B102:H102" si="6">B88</f>
        <v>90</v>
      </c>
      <c r="C102" s="716" t="str">
        <f t="shared" si="6"/>
        <v>Uitgaven voor kinderopvang:</v>
      </c>
      <c r="D102" s="717" t="str">
        <f t="shared" si="6"/>
        <v>(g)</v>
      </c>
      <c r="E102" s="848">
        <f t="shared" si="6"/>
        <v>0</v>
      </c>
      <c r="F102" s="874">
        <f t="shared" si="6"/>
        <v>0</v>
      </c>
      <c r="G102" s="848">
        <f t="shared" si="6"/>
        <v>0</v>
      </c>
      <c r="H102" s="856">
        <f t="shared" si="6"/>
        <v>0</v>
      </c>
      <c r="I102" s="893" t="s">
        <v>494</v>
      </c>
    </row>
    <row r="103" spans="1:9" ht="15" outlineLevel="1" thickBot="1" x14ac:dyDescent="0.35">
      <c r="A103" s="364">
        <v>103</v>
      </c>
      <c r="B103" s="718">
        <f>B92</f>
        <v>93</v>
      </c>
      <c r="C103" s="719" t="str">
        <f t="shared" ref="C103:E103" si="7">C92</f>
        <v>Persoonsgebonden aftrek:</v>
      </c>
      <c r="D103" s="720" t="str">
        <f t="shared" si="7"/>
        <v>(h)</v>
      </c>
      <c r="E103" s="989">
        <f t="shared" si="7"/>
        <v>0</v>
      </c>
      <c r="F103" s="1016">
        <f t="shared" ref="F103:G103" si="8">F92</f>
        <v>0</v>
      </c>
      <c r="G103" s="989">
        <f t="shared" si="8"/>
        <v>0</v>
      </c>
      <c r="H103" s="1017">
        <f t="shared" ref="H103" si="9">H92</f>
        <v>0</v>
      </c>
      <c r="I103" s="1018" t="s">
        <v>494</v>
      </c>
    </row>
    <row r="104" spans="1:9" ht="16.2" thickBot="1" x14ac:dyDescent="0.35">
      <c r="A104" s="439">
        <v>104</v>
      </c>
      <c r="B104" s="441">
        <v>94</v>
      </c>
      <c r="C104" s="427" t="s">
        <v>380</v>
      </c>
      <c r="D104" s="442"/>
      <c r="E104" s="1020">
        <f>E47+E66+E70+E74+E80-(E86+E88+E92)</f>
        <v>0</v>
      </c>
      <c r="F104" s="1021">
        <f>E104-E100</f>
        <v>0</v>
      </c>
      <c r="G104" s="1020">
        <f>G47+G66+G70+G74+G80-G86-G88-G92</f>
        <v>0</v>
      </c>
      <c r="H104" s="1022">
        <f>G104-G100</f>
        <v>0</v>
      </c>
      <c r="I104" s="1023" t="s">
        <v>287</v>
      </c>
    </row>
    <row r="105" spans="1:9" outlineLevel="1" x14ac:dyDescent="0.3">
      <c r="A105" s="362">
        <v>105</v>
      </c>
      <c r="B105" s="205"/>
      <c r="C105" s="714" t="str">
        <f>CONCATENATE(Basisgegevens!N7," / ",Basisgegevens!R7)</f>
        <v>1: 0 t/m 20384 tarief: 18,75% - Max. 3822 / 1: 0 t/m 20384 tarief: 18,75% - Max. 3822</v>
      </c>
      <c r="D105" s="455" t="s">
        <v>113</v>
      </c>
      <c r="E105" s="910">
        <f>Basisgegevens!M7</f>
        <v>0</v>
      </c>
      <c r="F105" s="1012">
        <f>Basisgegevens!T7</f>
        <v>0</v>
      </c>
      <c r="G105" s="910">
        <f>Basisgegevens!Q7</f>
        <v>0</v>
      </c>
      <c r="H105" s="1013">
        <f>Basisgegevens!U7</f>
        <v>0</v>
      </c>
      <c r="I105" s="1019"/>
    </row>
    <row r="106" spans="1:9" outlineLevel="1" x14ac:dyDescent="0.3">
      <c r="A106" s="364">
        <v>106</v>
      </c>
      <c r="B106" s="183"/>
      <c r="C106" s="827" t="str">
        <f>CONCATENATE(Basisgegevens!N8," / ",Basisgegevens!R8)</f>
        <v>2: 20385 t/m 34817 tarief: 20,2% - Max. 2915 / 2: 20385 t/m 34817 tarief: 20,2% - Max. 2915</v>
      </c>
      <c r="D106" s="451" t="s">
        <v>113</v>
      </c>
      <c r="E106" s="848">
        <f>Basisgegevens!M8</f>
        <v>0</v>
      </c>
      <c r="F106" s="875">
        <f>Basisgegevens!T8</f>
        <v>0</v>
      </c>
      <c r="G106" s="848">
        <f>Basisgegevens!Q8</f>
        <v>0</v>
      </c>
      <c r="H106" s="856">
        <f>Basisgegevens!U8</f>
        <v>0</v>
      </c>
      <c r="I106" s="892"/>
    </row>
    <row r="107" spans="1:9" outlineLevel="1" x14ac:dyDescent="0.3">
      <c r="A107" s="439">
        <v>107</v>
      </c>
      <c r="B107" s="183"/>
      <c r="C107" s="827" t="str">
        <f>CONCATENATE(Basisgegevens!N9," / ",Basisgegevens!R9)</f>
        <v>3: 34818 t/m 68507 tarief: 38,1% - Max. 12836 / 3: 34818 t/m 68507 tarief: 38,1% - Max. 12836</v>
      </c>
      <c r="D107" s="451" t="s">
        <v>113</v>
      </c>
      <c r="E107" s="848">
        <f>Basisgegevens!M9</f>
        <v>0</v>
      </c>
      <c r="F107" s="875">
        <f>Basisgegevens!T9</f>
        <v>0</v>
      </c>
      <c r="G107" s="848">
        <f>Basisgegevens!Q9</f>
        <v>0</v>
      </c>
      <c r="H107" s="856">
        <f>Basisgegevens!U9</f>
        <v>0</v>
      </c>
      <c r="I107" s="892"/>
    </row>
    <row r="108" spans="1:9" ht="15" outlineLevel="1" thickBot="1" x14ac:dyDescent="0.35">
      <c r="A108" s="362">
        <v>108</v>
      </c>
      <c r="B108" s="360"/>
      <c r="C108" s="1024" t="str">
        <f>CONCATENATE(Basisgegevens!N10," / ",Basisgegevens!R10)</f>
        <v>4: vanaf 68508 tarief: 51,75% / 4: vanaf 68508 tarief: 51,75%</v>
      </c>
      <c r="D108" s="462" t="s">
        <v>113</v>
      </c>
      <c r="E108" s="989">
        <f>Basisgegevens!M10</f>
        <v>0</v>
      </c>
      <c r="F108" s="1025">
        <f>Basisgegevens!T10</f>
        <v>0</v>
      </c>
      <c r="G108" s="989">
        <f>Basisgegevens!Q10</f>
        <v>0</v>
      </c>
      <c r="H108" s="1017">
        <f>Basisgegevens!U10</f>
        <v>0</v>
      </c>
      <c r="I108" s="1026"/>
    </row>
    <row r="109" spans="1:9" ht="16.2" thickBot="1" x14ac:dyDescent="0.35">
      <c r="A109" s="364">
        <v>109</v>
      </c>
      <c r="B109" s="444">
        <v>95</v>
      </c>
      <c r="C109" s="445" t="s">
        <v>34</v>
      </c>
      <c r="D109" s="465"/>
      <c r="E109" s="1027">
        <f>SUM(E105:E108)</f>
        <v>0</v>
      </c>
      <c r="F109" s="1028">
        <f>SUM(F105:F108)</f>
        <v>0</v>
      </c>
      <c r="G109" s="1027">
        <f>SUM(G105:G108)</f>
        <v>0</v>
      </c>
      <c r="H109" s="1029">
        <f>SUM(H105:H108)</f>
        <v>0</v>
      </c>
      <c r="I109" s="1030"/>
    </row>
    <row r="110" spans="1:9" ht="15" thickBot="1" x14ac:dyDescent="0.35">
      <c r="A110" s="439">
        <v>110</v>
      </c>
      <c r="B110" s="359"/>
      <c r="C110" s="1031" t="s">
        <v>128</v>
      </c>
      <c r="D110" s="440"/>
      <c r="E110" s="1032">
        <f>(E109-F109)/12</f>
        <v>0</v>
      </c>
      <c r="F110" s="1033"/>
      <c r="G110" s="1032">
        <f>(G109-H109)/12</f>
        <v>0</v>
      </c>
      <c r="H110" s="1034"/>
      <c r="I110" s="998"/>
    </row>
    <row r="111" spans="1:9" s="206" customFormat="1" ht="29.4" thickBot="1" x14ac:dyDescent="0.35">
      <c r="A111" s="362">
        <v>111</v>
      </c>
      <c r="B111" s="374"/>
      <c r="C111" s="377" t="s">
        <v>35</v>
      </c>
      <c r="D111" s="448"/>
      <c r="E111" s="915"/>
      <c r="F111" s="916"/>
      <c r="G111" s="915"/>
      <c r="H111" s="917"/>
      <c r="I111" s="1035" t="s">
        <v>363</v>
      </c>
    </row>
    <row r="112" spans="1:9" outlineLevel="1" x14ac:dyDescent="0.3">
      <c r="A112" s="364">
        <v>112</v>
      </c>
      <c r="B112" s="205">
        <v>96</v>
      </c>
      <c r="C112" s="192" t="s">
        <v>37</v>
      </c>
      <c r="D112" s="455" t="s">
        <v>113</v>
      </c>
      <c r="E112" s="979">
        <v>0</v>
      </c>
      <c r="F112" s="1012">
        <f>E112</f>
        <v>0</v>
      </c>
      <c r="G112" s="979">
        <v>0</v>
      </c>
      <c r="H112" s="1013">
        <f>G112</f>
        <v>0</v>
      </c>
      <c r="I112" s="950" t="s">
        <v>294</v>
      </c>
    </row>
    <row r="113" spans="1:9" outlineLevel="1" x14ac:dyDescent="0.3">
      <c r="A113" s="439">
        <v>113</v>
      </c>
      <c r="B113" s="419">
        <v>97</v>
      </c>
      <c r="C113" s="1512" t="s">
        <v>38</v>
      </c>
      <c r="D113" s="1513"/>
      <c r="E113" s="1514">
        <v>0</v>
      </c>
      <c r="F113" s="1515">
        <v>0</v>
      </c>
      <c r="G113" s="1514">
        <v>0</v>
      </c>
      <c r="H113" s="1516">
        <v>0</v>
      </c>
      <c r="I113" s="1517" t="s">
        <v>381</v>
      </c>
    </row>
    <row r="114" spans="1:9" outlineLevel="1" x14ac:dyDescent="0.3">
      <c r="A114" s="362">
        <v>114</v>
      </c>
      <c r="B114" s="183">
        <v>98</v>
      </c>
      <c r="C114" s="680" t="s">
        <v>599</v>
      </c>
      <c r="D114" s="451" t="s">
        <v>113</v>
      </c>
      <c r="E114" s="848">
        <f>SUM(E112:E113)</f>
        <v>0</v>
      </c>
      <c r="F114" s="874">
        <f>E114</f>
        <v>0</v>
      </c>
      <c r="G114" s="848">
        <f>SUM(G112:G113)</f>
        <v>0</v>
      </c>
      <c r="H114" s="856">
        <f>G114</f>
        <v>0</v>
      </c>
      <c r="I114" s="887" t="s">
        <v>294</v>
      </c>
    </row>
    <row r="115" spans="1:9" ht="15" outlineLevel="1" thickBot="1" x14ac:dyDescent="0.35">
      <c r="A115" s="364">
        <v>115</v>
      </c>
      <c r="B115" s="360">
        <v>99</v>
      </c>
      <c r="C115" s="209" t="s">
        <v>364</v>
      </c>
      <c r="D115" s="462" t="s">
        <v>107</v>
      </c>
      <c r="E115" s="1002">
        <v>0</v>
      </c>
      <c r="F115" s="1016">
        <f>E115</f>
        <v>0</v>
      </c>
      <c r="G115" s="1002">
        <v>0</v>
      </c>
      <c r="H115" s="1017">
        <f>G115</f>
        <v>0</v>
      </c>
      <c r="I115" s="1036" t="s">
        <v>288</v>
      </c>
    </row>
    <row r="116" spans="1:9" ht="16.2" thickBot="1" x14ac:dyDescent="0.35">
      <c r="A116" s="439">
        <v>116</v>
      </c>
      <c r="B116" s="441">
        <v>100</v>
      </c>
      <c r="C116" s="428" t="s">
        <v>379</v>
      </c>
      <c r="D116" s="467"/>
      <c r="E116" s="1020">
        <f>E114-E115</f>
        <v>0</v>
      </c>
      <c r="F116" s="1021">
        <f t="shared" ref="F116:H116" si="10">F114-F115</f>
        <v>0</v>
      </c>
      <c r="G116" s="1020">
        <f t="shared" si="10"/>
        <v>0</v>
      </c>
      <c r="H116" s="1022">
        <f t="shared" si="10"/>
        <v>0</v>
      </c>
      <c r="I116" s="1023" t="s">
        <v>365</v>
      </c>
    </row>
    <row r="117" spans="1:9" ht="16.2" thickBot="1" x14ac:dyDescent="0.35">
      <c r="A117" s="362">
        <v>117</v>
      </c>
      <c r="B117" s="259">
        <v>101</v>
      </c>
      <c r="C117" s="1037" t="str">
        <f>CONCATENATE("Inkomstebelasting (vast tarief ",Basisgegevens!C145*100,"%) box II:")</f>
        <v>Inkomstebelasting (vast tarief 25%) box II:</v>
      </c>
      <c r="D117" s="465"/>
      <c r="E117" s="160">
        <f>Basisgegevens!$C145*E116</f>
        <v>0</v>
      </c>
      <c r="F117" s="1038">
        <f>Basisgegevens!$C145*F116</f>
        <v>0</v>
      </c>
      <c r="G117" s="160">
        <f>Basisgegevens!$C145*G116</f>
        <v>0</v>
      </c>
      <c r="H117" s="161">
        <f>Basisgegevens!$C145*H116</f>
        <v>0</v>
      </c>
      <c r="I117" s="1039"/>
    </row>
    <row r="118" spans="1:9" ht="15" outlineLevel="1" thickBot="1" x14ac:dyDescent="0.35">
      <c r="A118" s="364">
        <v>118</v>
      </c>
      <c r="B118" s="359"/>
      <c r="C118" s="217"/>
      <c r="D118" s="440"/>
      <c r="E118" s="995"/>
      <c r="F118" s="1033"/>
      <c r="G118" s="995"/>
      <c r="H118" s="1034"/>
      <c r="I118" s="998"/>
    </row>
    <row r="119" spans="1:9" ht="72.599999999999994" thickBot="1" x14ac:dyDescent="0.35">
      <c r="A119" s="439">
        <v>119</v>
      </c>
      <c r="B119" s="363"/>
      <c r="C119" s="418" t="s">
        <v>36</v>
      </c>
      <c r="D119" s="468"/>
      <c r="E119" s="1041"/>
      <c r="F119" s="1042"/>
      <c r="G119" s="1041"/>
      <c r="H119" s="1043"/>
      <c r="I119" s="1035" t="s">
        <v>307</v>
      </c>
    </row>
    <row r="120" spans="1:9" outlineLevel="1" x14ac:dyDescent="0.3">
      <c r="A120" s="362">
        <v>120</v>
      </c>
      <c r="B120" s="205">
        <v>102</v>
      </c>
      <c r="C120" s="192" t="s">
        <v>39</v>
      </c>
      <c r="D120" s="457"/>
      <c r="E120" s="956"/>
      <c r="F120" s="999"/>
      <c r="G120" s="956"/>
      <c r="H120" s="1000"/>
      <c r="I120" s="1040" t="s">
        <v>309</v>
      </c>
    </row>
    <row r="121" spans="1:9" outlineLevel="1" x14ac:dyDescent="0.3">
      <c r="A121" s="364">
        <v>121</v>
      </c>
      <c r="B121" s="183"/>
      <c r="C121" s="190" t="s">
        <v>40</v>
      </c>
      <c r="D121" s="451" t="s">
        <v>113</v>
      </c>
      <c r="E121" s="853">
        <v>0</v>
      </c>
      <c r="F121" s="874">
        <f>E121</f>
        <v>0</v>
      </c>
      <c r="G121" s="853">
        <v>0</v>
      </c>
      <c r="H121" s="856">
        <f>G121</f>
        <v>0</v>
      </c>
      <c r="I121" s="887" t="s">
        <v>294</v>
      </c>
    </row>
    <row r="122" spans="1:9" outlineLevel="1" x14ac:dyDescent="0.3">
      <c r="A122" s="439">
        <v>122</v>
      </c>
      <c r="B122" s="183"/>
      <c r="C122" s="190" t="s">
        <v>41</v>
      </c>
      <c r="D122" s="451" t="s">
        <v>113</v>
      </c>
      <c r="E122" s="853">
        <v>0</v>
      </c>
      <c r="F122" s="874">
        <f t="shared" ref="F122:H124" si="11">E122</f>
        <v>0</v>
      </c>
      <c r="G122" s="853">
        <v>0</v>
      </c>
      <c r="H122" s="856">
        <f t="shared" si="11"/>
        <v>0</v>
      </c>
      <c r="I122" s="887" t="s">
        <v>294</v>
      </c>
    </row>
    <row r="123" spans="1:9" outlineLevel="1" x14ac:dyDescent="0.3">
      <c r="A123" s="362">
        <v>123</v>
      </c>
      <c r="B123" s="183"/>
      <c r="C123" s="190" t="s">
        <v>42</v>
      </c>
      <c r="D123" s="451" t="s">
        <v>113</v>
      </c>
      <c r="E123" s="853">
        <v>0</v>
      </c>
      <c r="F123" s="874">
        <f t="shared" si="11"/>
        <v>0</v>
      </c>
      <c r="G123" s="853">
        <v>0</v>
      </c>
      <c r="H123" s="856">
        <f t="shared" si="11"/>
        <v>0</v>
      </c>
      <c r="I123" s="887" t="s">
        <v>294</v>
      </c>
    </row>
    <row r="124" spans="1:9" ht="15" outlineLevel="1" thickBot="1" x14ac:dyDescent="0.35">
      <c r="A124" s="364">
        <v>124</v>
      </c>
      <c r="B124" s="360"/>
      <c r="C124" s="209" t="s">
        <v>43</v>
      </c>
      <c r="D124" s="462" t="s">
        <v>107</v>
      </c>
      <c r="E124" s="1002">
        <v>0</v>
      </c>
      <c r="F124" s="1016">
        <f t="shared" si="11"/>
        <v>0</v>
      </c>
      <c r="G124" s="1002">
        <v>0</v>
      </c>
      <c r="H124" s="1017">
        <f t="shared" si="11"/>
        <v>0</v>
      </c>
      <c r="I124" s="987" t="s">
        <v>294</v>
      </c>
    </row>
    <row r="125" spans="1:9" ht="15" thickBot="1" x14ac:dyDescent="0.35">
      <c r="A125" s="439">
        <v>125</v>
      </c>
      <c r="B125" s="441">
        <v>103</v>
      </c>
      <c r="C125" s="443" t="s">
        <v>507</v>
      </c>
      <c r="D125" s="470"/>
      <c r="E125" s="1020">
        <f>SUM(E121:E123)-E124</f>
        <v>0</v>
      </c>
      <c r="F125" s="1021">
        <f>SUM(F121:F123)-F124</f>
        <v>0</v>
      </c>
      <c r="G125" s="1020">
        <f>SUM(G121:G123)-G124</f>
        <v>0</v>
      </c>
      <c r="H125" s="1022">
        <f>SUM(H121:H123)-H124</f>
        <v>0</v>
      </c>
      <c r="I125" s="1023" t="s">
        <v>295</v>
      </c>
    </row>
    <row r="126" spans="1:9" ht="28.8" outlineLevel="1" x14ac:dyDescent="0.3">
      <c r="A126" s="362">
        <v>126</v>
      </c>
      <c r="B126" s="205">
        <v>104</v>
      </c>
      <c r="C126" s="192" t="s">
        <v>44</v>
      </c>
      <c r="D126" s="457"/>
      <c r="E126" s="956"/>
      <c r="F126" s="999"/>
      <c r="G126" s="956"/>
      <c r="H126" s="1000"/>
      <c r="I126" s="1044" t="s">
        <v>368</v>
      </c>
    </row>
    <row r="127" spans="1:9" outlineLevel="1" x14ac:dyDescent="0.3">
      <c r="A127" s="364">
        <v>127</v>
      </c>
      <c r="B127" s="183"/>
      <c r="C127" s="190" t="s">
        <v>45</v>
      </c>
      <c r="D127" s="464"/>
      <c r="E127" s="851"/>
      <c r="F127" s="842"/>
      <c r="G127" s="851"/>
      <c r="H127" s="854"/>
      <c r="I127" s="887"/>
    </row>
    <row r="128" spans="1:9" outlineLevel="1" x14ac:dyDescent="0.3">
      <c r="A128" s="439">
        <v>128</v>
      </c>
      <c r="B128" s="183"/>
      <c r="C128" s="190" t="s">
        <v>46</v>
      </c>
      <c r="D128" s="451" t="s">
        <v>113</v>
      </c>
      <c r="E128" s="853">
        <v>0</v>
      </c>
      <c r="F128" s="874">
        <f>E128</f>
        <v>0</v>
      </c>
      <c r="G128" s="853">
        <v>0</v>
      </c>
      <c r="H128" s="856">
        <f>G128</f>
        <v>0</v>
      </c>
      <c r="I128" s="887" t="s">
        <v>294</v>
      </c>
    </row>
    <row r="129" spans="1:9" outlineLevel="1" x14ac:dyDescent="0.3">
      <c r="A129" s="362">
        <v>129</v>
      </c>
      <c r="B129" s="183"/>
      <c r="C129" s="190" t="s">
        <v>47</v>
      </c>
      <c r="D129" s="451" t="s">
        <v>113</v>
      </c>
      <c r="E129" s="853">
        <v>0</v>
      </c>
      <c r="F129" s="874">
        <f t="shared" ref="F129:H130" si="12">E129</f>
        <v>0</v>
      </c>
      <c r="G129" s="853">
        <v>0</v>
      </c>
      <c r="H129" s="856">
        <f t="shared" si="12"/>
        <v>0</v>
      </c>
      <c r="I129" s="887" t="s">
        <v>294</v>
      </c>
    </row>
    <row r="130" spans="1:9" outlineLevel="1" x14ac:dyDescent="0.3">
      <c r="A130" s="364">
        <v>130</v>
      </c>
      <c r="B130" s="183"/>
      <c r="C130" s="190" t="s">
        <v>308</v>
      </c>
      <c r="D130" s="451" t="s">
        <v>113</v>
      </c>
      <c r="E130" s="853">
        <v>0</v>
      </c>
      <c r="F130" s="874">
        <f t="shared" si="12"/>
        <v>0</v>
      </c>
      <c r="G130" s="853">
        <v>0</v>
      </c>
      <c r="H130" s="856">
        <f t="shared" si="12"/>
        <v>0</v>
      </c>
      <c r="I130" s="887" t="s">
        <v>294</v>
      </c>
    </row>
    <row r="131" spans="1:9" outlineLevel="1" x14ac:dyDescent="0.3">
      <c r="A131" s="439">
        <v>131</v>
      </c>
      <c r="B131" s="183"/>
      <c r="C131" s="190" t="s">
        <v>602</v>
      </c>
      <c r="D131" s="451" t="s">
        <v>107</v>
      </c>
      <c r="E131" s="853">
        <v>0</v>
      </c>
      <c r="F131" s="874">
        <f>E131</f>
        <v>0</v>
      </c>
      <c r="G131" s="853">
        <v>0</v>
      </c>
      <c r="H131" s="856">
        <f>G133</f>
        <v>0</v>
      </c>
      <c r="I131" s="887" t="s">
        <v>294</v>
      </c>
    </row>
    <row r="132" spans="1:9" outlineLevel="1" x14ac:dyDescent="0.3">
      <c r="A132" s="362">
        <v>132</v>
      </c>
      <c r="B132" s="183"/>
      <c r="C132" s="680" t="s">
        <v>603</v>
      </c>
      <c r="D132" s="451"/>
      <c r="E132" s="848">
        <f>Basisgegevens!$C$148</f>
        <v>3100</v>
      </c>
      <c r="F132" s="874">
        <f>E132</f>
        <v>3100</v>
      </c>
      <c r="G132" s="848">
        <f>Basisgegevens!$C$148</f>
        <v>3100</v>
      </c>
      <c r="H132" s="856">
        <f>G132</f>
        <v>3100</v>
      </c>
      <c r="I132" s="887"/>
    </row>
    <row r="133" spans="1:9" outlineLevel="1" x14ac:dyDescent="0.3">
      <c r="A133" s="364">
        <v>133</v>
      </c>
      <c r="B133" s="183"/>
      <c r="C133" s="741" t="s">
        <v>604</v>
      </c>
      <c r="D133" s="451" t="s">
        <v>107</v>
      </c>
      <c r="E133" s="848">
        <f>IF(E132&gt;E131,E131,E131-E132)</f>
        <v>0</v>
      </c>
      <c r="F133" s="874">
        <f t="shared" ref="F133:H133" si="13">IF(F132&gt;F131,F131,F131-F132)</f>
        <v>0</v>
      </c>
      <c r="G133" s="848">
        <f t="shared" si="13"/>
        <v>0</v>
      </c>
      <c r="H133" s="856">
        <f t="shared" si="13"/>
        <v>0</v>
      </c>
      <c r="I133" s="887"/>
    </row>
    <row r="134" spans="1:9" outlineLevel="1" x14ac:dyDescent="0.3">
      <c r="A134" s="439">
        <v>134</v>
      </c>
      <c r="B134" s="183"/>
      <c r="C134" s="196" t="s">
        <v>297</v>
      </c>
      <c r="D134" s="451"/>
      <c r="E134" s="858">
        <v>0</v>
      </c>
      <c r="F134" s="876">
        <v>0</v>
      </c>
      <c r="G134" s="858">
        <v>0</v>
      </c>
      <c r="H134" s="859">
        <v>0</v>
      </c>
      <c r="I134" s="890" t="s">
        <v>268</v>
      </c>
    </row>
    <row r="135" spans="1:9" outlineLevel="1" x14ac:dyDescent="0.3">
      <c r="A135" s="362">
        <v>135</v>
      </c>
      <c r="B135" s="835">
        <v>105</v>
      </c>
      <c r="C135" s="828" t="s">
        <v>206</v>
      </c>
      <c r="D135" s="843"/>
      <c r="E135" s="860">
        <f>SUM(E128:E130)-E133</f>
        <v>0</v>
      </c>
      <c r="F135" s="877">
        <f>SUM(F128:F130)-F133</f>
        <v>0</v>
      </c>
      <c r="G135" s="860">
        <f t="shared" ref="G135:H135" si="14">SUM(G128:G130)-G133</f>
        <v>0</v>
      </c>
      <c r="H135" s="861">
        <f t="shared" si="14"/>
        <v>0</v>
      </c>
      <c r="I135" s="892"/>
    </row>
    <row r="136" spans="1:9" ht="28.8" outlineLevel="1" x14ac:dyDescent="0.3">
      <c r="A136" s="364">
        <v>136</v>
      </c>
      <c r="B136" s="183">
        <v>106</v>
      </c>
      <c r="C136" s="190" t="s">
        <v>605</v>
      </c>
      <c r="D136" s="451" t="s">
        <v>107</v>
      </c>
      <c r="E136" s="848">
        <f>IF(E135&gt;Basisgegevens!N186,Basisgegevens!N186,E135)</f>
        <v>0</v>
      </c>
      <c r="F136" s="874">
        <f>E136</f>
        <v>0</v>
      </c>
      <c r="G136" s="848">
        <f>IF(G135&gt;Basisgegevens!N186,Basisgegevens!N186,G135)</f>
        <v>0</v>
      </c>
      <c r="H136" s="856">
        <f>G136</f>
        <v>0</v>
      </c>
      <c r="I136" s="887" t="s">
        <v>306</v>
      </c>
    </row>
    <row r="137" spans="1:9" ht="43.8" outlineLevel="1" thickBot="1" x14ac:dyDescent="0.35">
      <c r="A137" s="439">
        <v>137</v>
      </c>
      <c r="B137" s="360">
        <v>107</v>
      </c>
      <c r="C137" s="209" t="s">
        <v>296</v>
      </c>
      <c r="D137" s="462" t="s">
        <v>107</v>
      </c>
      <c r="E137" s="1002">
        <v>0</v>
      </c>
      <c r="F137" s="1016">
        <f>E137</f>
        <v>0</v>
      </c>
      <c r="G137" s="1002">
        <v>0</v>
      </c>
      <c r="H137" s="1017">
        <f>G137</f>
        <v>0</v>
      </c>
      <c r="I137" s="987" t="s">
        <v>369</v>
      </c>
    </row>
    <row r="138" spans="1:9" ht="15" thickBot="1" x14ac:dyDescent="0.35">
      <c r="A138" s="362">
        <v>138</v>
      </c>
      <c r="B138" s="441">
        <v>108</v>
      </c>
      <c r="C138" s="443" t="s">
        <v>508</v>
      </c>
      <c r="D138" s="467"/>
      <c r="E138" s="1020">
        <f>E135-SUM(E136:E137)</f>
        <v>0</v>
      </c>
      <c r="F138" s="1021">
        <f>F135-SUM(F136:F137)</f>
        <v>0</v>
      </c>
      <c r="G138" s="1020">
        <f>G135-SUM(G136:G137)</f>
        <v>0</v>
      </c>
      <c r="H138" s="1022">
        <f>H135-SUM(H136:H137)</f>
        <v>0</v>
      </c>
      <c r="I138" s="1023" t="s">
        <v>298</v>
      </c>
    </row>
    <row r="139" spans="1:9" outlineLevel="1" x14ac:dyDescent="0.3">
      <c r="A139" s="364">
        <v>139</v>
      </c>
      <c r="B139" s="205">
        <v>109</v>
      </c>
      <c r="C139" s="192" t="s">
        <v>301</v>
      </c>
      <c r="D139" s="455" t="s">
        <v>113</v>
      </c>
      <c r="E139" s="910">
        <f>Basisgegevens!Q194</f>
        <v>0</v>
      </c>
      <c r="F139" s="1012">
        <f>E139</f>
        <v>0</v>
      </c>
      <c r="G139" s="910">
        <f>Basisgegevens!R194</f>
        <v>0</v>
      </c>
      <c r="H139" s="1013">
        <f>G139</f>
        <v>0</v>
      </c>
      <c r="I139" s="950"/>
    </row>
    <row r="140" spans="1:9" ht="15" outlineLevel="1" thickBot="1" x14ac:dyDescent="0.35">
      <c r="A140" s="439">
        <v>140</v>
      </c>
      <c r="B140" s="360">
        <v>110</v>
      </c>
      <c r="C140" s="209" t="s">
        <v>48</v>
      </c>
      <c r="D140" s="462" t="s">
        <v>107</v>
      </c>
      <c r="E140" s="1002">
        <v>0</v>
      </c>
      <c r="F140" s="1016">
        <f>E140</f>
        <v>0</v>
      </c>
      <c r="G140" s="1002">
        <v>0</v>
      </c>
      <c r="H140" s="1017">
        <f>G140</f>
        <v>0</v>
      </c>
      <c r="I140" s="1045" t="s">
        <v>302</v>
      </c>
    </row>
    <row r="141" spans="1:9" ht="16.2" thickBot="1" x14ac:dyDescent="0.35">
      <c r="A141" s="362">
        <v>141</v>
      </c>
      <c r="B141" s="420">
        <v>111</v>
      </c>
      <c r="C141" s="427" t="s">
        <v>378</v>
      </c>
      <c r="D141" s="442"/>
      <c r="E141" s="940">
        <f>E139-E140</f>
        <v>0</v>
      </c>
      <c r="F141" s="1004">
        <f>F139-F140</f>
        <v>0</v>
      </c>
      <c r="G141" s="940">
        <f>G139-G140</f>
        <v>0</v>
      </c>
      <c r="H141" s="1005">
        <v>0</v>
      </c>
      <c r="I141" s="1023" t="s">
        <v>377</v>
      </c>
    </row>
    <row r="142" spans="1:9" ht="16.2" thickBot="1" x14ac:dyDescent="0.35">
      <c r="A142" s="364">
        <v>142</v>
      </c>
      <c r="B142" s="444">
        <v>112</v>
      </c>
      <c r="C142" s="445" t="str">
        <f>CONCATENATE("Inkomstebelasting (vast tarief ",Basisgegevens!C146*100,"%) box III:")</f>
        <v>Inkomstebelasting (vast tarief 30%) box III:</v>
      </c>
      <c r="D142" s="1048"/>
      <c r="E142" s="1027">
        <f>Basisgegevens!$C146*E141</f>
        <v>0</v>
      </c>
      <c r="F142" s="1028">
        <f>Basisgegevens!$C146*F141</f>
        <v>0</v>
      </c>
      <c r="G142" s="1027">
        <f>Basisgegevens!$C146*G141</f>
        <v>0</v>
      </c>
      <c r="H142" s="1029">
        <f>Basisgegevens!$C146*H141</f>
        <v>0</v>
      </c>
      <c r="I142" s="1030"/>
    </row>
    <row r="143" spans="1:9" ht="15" thickBot="1" x14ac:dyDescent="0.35">
      <c r="A143" s="439">
        <v>143</v>
      </c>
      <c r="B143" s="359"/>
      <c r="C143" s="217"/>
      <c r="D143" s="440"/>
      <c r="E143" s="995"/>
      <c r="F143" s="1049"/>
      <c r="G143" s="995"/>
      <c r="H143" s="1050"/>
      <c r="I143" s="998"/>
    </row>
    <row r="144" spans="1:9" ht="21.6" thickBot="1" x14ac:dyDescent="0.35">
      <c r="A144" s="362">
        <v>144</v>
      </c>
      <c r="B144" s="374"/>
      <c r="C144" s="377" t="s">
        <v>509</v>
      </c>
      <c r="D144" s="448"/>
      <c r="E144" s="915"/>
      <c r="F144" s="916"/>
      <c r="G144" s="915"/>
      <c r="H144" s="917"/>
      <c r="I144" s="1052"/>
    </row>
    <row r="145" spans="1:9" ht="15" thickBot="1" x14ac:dyDescent="0.35">
      <c r="A145" s="364">
        <v>145</v>
      </c>
      <c r="B145" s="359">
        <v>113</v>
      </c>
      <c r="C145" s="217" t="s">
        <v>105</v>
      </c>
      <c r="D145" s="456" t="s">
        <v>113</v>
      </c>
      <c r="E145" s="1032">
        <f>IF(E41&gt;0,E41+E52+E68+E74+E114+E125,E38+E52+E68+E74+E114+E125)</f>
        <v>0</v>
      </c>
      <c r="F145" s="1053">
        <f>E145</f>
        <v>0</v>
      </c>
      <c r="G145" s="1032">
        <f>IF(G41&gt;0,G41+G52+G68+G74+G114+G125,G38+G52+G68+G74+G114+G125)</f>
        <v>0</v>
      </c>
      <c r="H145" s="1054">
        <f>G145</f>
        <v>0</v>
      </c>
      <c r="I145" s="1055" t="s">
        <v>937</v>
      </c>
    </row>
    <row r="146" spans="1:9" ht="15" thickBot="1" x14ac:dyDescent="0.35">
      <c r="A146" s="439">
        <v>146</v>
      </c>
      <c r="B146" s="259">
        <v>114</v>
      </c>
      <c r="C146" s="480" t="s">
        <v>372</v>
      </c>
      <c r="D146" s="481" t="s">
        <v>107</v>
      </c>
      <c r="E146" s="160">
        <f>E109+E117+E142</f>
        <v>0</v>
      </c>
      <c r="F146" s="1038">
        <f>F109+E117+E142</f>
        <v>0</v>
      </c>
      <c r="G146" s="160">
        <f>G109+G117+G142</f>
        <v>0</v>
      </c>
      <c r="H146" s="161">
        <f>H109+G117+G142</f>
        <v>0</v>
      </c>
      <c r="I146" s="1057" t="s">
        <v>373</v>
      </c>
    </row>
    <row r="147" spans="1:9" outlineLevel="1" x14ac:dyDescent="0.3">
      <c r="A147" s="362">
        <v>147</v>
      </c>
      <c r="B147" s="205">
        <v>115</v>
      </c>
      <c r="C147" s="1056" t="s">
        <v>49</v>
      </c>
      <c r="D147" s="457"/>
      <c r="E147" s="956"/>
      <c r="F147" s="1046"/>
      <c r="G147" s="956"/>
      <c r="H147" s="1047"/>
      <c r="I147" s="950"/>
    </row>
    <row r="148" spans="1:9" outlineLevel="1" x14ac:dyDescent="0.3">
      <c r="A148" s="364">
        <v>148</v>
      </c>
      <c r="B148" s="183"/>
      <c r="C148" s="220" t="s">
        <v>205</v>
      </c>
      <c r="D148" s="451" t="s">
        <v>113</v>
      </c>
      <c r="E148" s="848">
        <f>IF(Basisgegevens!C$10="Nee",Basisgegevens!Q121,Basisgegevens!Q130)</f>
        <v>0</v>
      </c>
      <c r="F148" s="875">
        <f>IF(Basisgegevens!C$10="Nee",Basisgegevens!W121,Basisgegevens!W130)</f>
        <v>0</v>
      </c>
      <c r="G148" s="848">
        <f>IF(Basisgegevens!D$10="Nee",Basisgegevens!R121,Basisgegevens!R130)</f>
        <v>0</v>
      </c>
      <c r="H148" s="856">
        <f>IF(Basisgegevens!D$10="Nee",Basisgegevens!X121,Basisgegevens!X130)</f>
        <v>0</v>
      </c>
      <c r="I148" s="890"/>
    </row>
    <row r="149" spans="1:9" outlineLevel="1" x14ac:dyDescent="0.3">
      <c r="A149" s="439">
        <v>149</v>
      </c>
      <c r="B149" s="183"/>
      <c r="C149" s="1521" t="s">
        <v>229</v>
      </c>
      <c r="D149" s="451" t="s">
        <v>113</v>
      </c>
      <c r="E149" s="1514">
        <v>0</v>
      </c>
      <c r="F149" s="1525">
        <v>0</v>
      </c>
      <c r="G149" s="1514">
        <v>0</v>
      </c>
      <c r="H149" s="1526">
        <v>0</v>
      </c>
      <c r="I149" s="1527" t="s">
        <v>381</v>
      </c>
    </row>
    <row r="150" spans="1:9" outlineLevel="1" x14ac:dyDescent="0.3">
      <c r="A150" s="362">
        <v>150</v>
      </c>
      <c r="B150" s="183"/>
      <c r="C150" s="220" t="s">
        <v>204</v>
      </c>
      <c r="D150" s="451" t="s">
        <v>113</v>
      </c>
      <c r="E150" s="848">
        <f>IF(Basisgegevens!C$10="Nee",Basisgegevens!Q142,Basisgegevens!Q151)</f>
        <v>0</v>
      </c>
      <c r="F150" s="875">
        <f>E150</f>
        <v>0</v>
      </c>
      <c r="G150" s="848">
        <f>IF(Basisgegevens!D$10="Nee",Basisgegevens!R142,Basisgegevens!R151)</f>
        <v>0</v>
      </c>
      <c r="H150" s="857">
        <f>G150</f>
        <v>0</v>
      </c>
      <c r="I150" s="890"/>
    </row>
    <row r="151" spans="1:9" outlineLevel="1" x14ac:dyDescent="0.3">
      <c r="A151" s="364">
        <v>151</v>
      </c>
      <c r="B151" s="183"/>
      <c r="C151" s="220" t="s">
        <v>50</v>
      </c>
      <c r="D151" s="451" t="s">
        <v>113</v>
      </c>
      <c r="E151" s="848" t="str">
        <f>IF(OR(Basisgegevens!Q105="n.v.t",Basisgegevens!Q105="zie AOW-tabel"),Basisgegevens!Q113,Basisgegevens!Q105)</f>
        <v>n.v.t</v>
      </c>
      <c r="F151" s="875" t="str">
        <f>E151</f>
        <v>n.v.t</v>
      </c>
      <c r="G151" s="848" t="str">
        <f>IF(OR(Basisgegevens!R105="n.v.t",Basisgegevens!R105="zie AOW-tabel"),Basisgegevens!R113,Basisgegevens!R105)</f>
        <v>n.v.t</v>
      </c>
      <c r="H151" s="857" t="str">
        <f>G151</f>
        <v>n.v.t</v>
      </c>
      <c r="I151" s="890"/>
    </row>
    <row r="152" spans="1:9" outlineLevel="1" x14ac:dyDescent="0.3">
      <c r="A152" s="439">
        <v>152</v>
      </c>
      <c r="B152" s="183"/>
      <c r="C152" s="220" t="s">
        <v>51</v>
      </c>
      <c r="D152" s="451" t="s">
        <v>113</v>
      </c>
      <c r="E152" s="848">
        <f>Basisgegevens!Q159</f>
        <v>0</v>
      </c>
      <c r="F152" s="875">
        <f>E152</f>
        <v>0</v>
      </c>
      <c r="G152" s="848">
        <f>Basisgegevens!R159</f>
        <v>0</v>
      </c>
      <c r="H152" s="857">
        <f>G152</f>
        <v>0</v>
      </c>
      <c r="I152" s="890"/>
    </row>
    <row r="153" spans="1:9" outlineLevel="1" x14ac:dyDescent="0.3">
      <c r="A153" s="362">
        <v>153</v>
      </c>
      <c r="B153" s="183"/>
      <c r="C153" s="220" t="s">
        <v>221</v>
      </c>
      <c r="D153" s="451" t="s">
        <v>113</v>
      </c>
      <c r="E153" s="848" t="str">
        <f>Basisgegevens!Q77</f>
        <v>n.v.t</v>
      </c>
      <c r="F153" s="875" t="str">
        <f>E153</f>
        <v>n.v.t</v>
      </c>
      <c r="G153" s="848" t="str">
        <f>Basisgegevens!R77</f>
        <v>n.v.t</v>
      </c>
      <c r="H153" s="857" t="str">
        <f>G153</f>
        <v>n.v.t</v>
      </c>
      <c r="I153" s="890"/>
    </row>
    <row r="154" spans="1:9" ht="15" outlineLevel="1" thickBot="1" x14ac:dyDescent="0.35">
      <c r="A154" s="364">
        <v>154</v>
      </c>
      <c r="B154" s="183"/>
      <c r="C154" s="220" t="s">
        <v>222</v>
      </c>
      <c r="D154" s="451" t="s">
        <v>113</v>
      </c>
      <c r="E154" s="1002">
        <v>0</v>
      </c>
      <c r="F154" s="1016">
        <f>E154</f>
        <v>0</v>
      </c>
      <c r="G154" s="1002">
        <v>0</v>
      </c>
      <c r="H154" s="1017">
        <f>G154</f>
        <v>0</v>
      </c>
      <c r="I154" s="890"/>
    </row>
    <row r="155" spans="1:9" ht="16.8" outlineLevel="1" thickBot="1" x14ac:dyDescent="0.35">
      <c r="A155" s="439">
        <v>155</v>
      </c>
      <c r="B155" s="360">
        <v>116</v>
      </c>
      <c r="C155" s="1058" t="s">
        <v>519</v>
      </c>
      <c r="D155" s="462" t="s">
        <v>113</v>
      </c>
      <c r="E155" s="1335">
        <f>SUM(E148:E154)</f>
        <v>0</v>
      </c>
      <c r="F155" s="1336">
        <f>SUM(F148:F154)</f>
        <v>0</v>
      </c>
      <c r="G155" s="1335">
        <f>SUM(G148:G154)</f>
        <v>0</v>
      </c>
      <c r="H155" s="1337">
        <f>SUM(H148:H154)</f>
        <v>0</v>
      </c>
      <c r="I155" s="1059" t="s">
        <v>384</v>
      </c>
    </row>
    <row r="156" spans="1:9" ht="15" thickBot="1" x14ac:dyDescent="0.35">
      <c r="A156" s="362">
        <v>156</v>
      </c>
      <c r="B156" s="259">
        <v>117</v>
      </c>
      <c r="C156" s="724" t="s">
        <v>632</v>
      </c>
      <c r="D156" s="481" t="s">
        <v>107</v>
      </c>
      <c r="E156" s="160">
        <f>IF(OR(E146&lt;=0,E146-E155&lt;0.01),0,E146-E155)</f>
        <v>0</v>
      </c>
      <c r="F156" s="160">
        <f>IF(OR(F146&lt;=0,F146-F155&lt;0.01),0,F146-F155)</f>
        <v>0</v>
      </c>
      <c r="G156" s="160">
        <f>IF(OR(G146&lt;=0,G146-G155&lt;0.01),0,G146-G155)</f>
        <v>0</v>
      </c>
      <c r="H156" s="160">
        <f>IF(OR(H146&lt;=0,H146-H155&lt;0.01),0,H146-H155)</f>
        <v>0</v>
      </c>
      <c r="I156" s="1057" t="s">
        <v>385</v>
      </c>
    </row>
    <row r="157" spans="1:9" ht="16.2" thickBot="1" x14ac:dyDescent="0.35">
      <c r="A157" s="364">
        <v>157</v>
      </c>
      <c r="B157" s="420"/>
      <c r="C157" s="427" t="s">
        <v>511</v>
      </c>
      <c r="D157" s="461"/>
      <c r="E157" s="940">
        <f>E145-E156</f>
        <v>0</v>
      </c>
      <c r="F157" s="1004">
        <f>F145-F156</f>
        <v>0</v>
      </c>
      <c r="G157" s="940">
        <f>G145-G156</f>
        <v>0</v>
      </c>
      <c r="H157" s="1005">
        <f>H145-H156</f>
        <v>0</v>
      </c>
      <c r="I157" s="943" t="s">
        <v>633</v>
      </c>
    </row>
    <row r="158" spans="1:9" ht="43.2" x14ac:dyDescent="0.3">
      <c r="A158" s="439">
        <v>158</v>
      </c>
      <c r="B158" s="205">
        <v>118</v>
      </c>
      <c r="C158" s="192" t="s">
        <v>52</v>
      </c>
      <c r="D158" s="455" t="s">
        <v>113</v>
      </c>
      <c r="E158" s="979">
        <v>0</v>
      </c>
      <c r="F158" s="1012">
        <f>E158</f>
        <v>0</v>
      </c>
      <c r="G158" s="979">
        <v>0</v>
      </c>
      <c r="H158" s="1013">
        <f>G158</f>
        <v>0</v>
      </c>
      <c r="I158" s="950" t="s">
        <v>386</v>
      </c>
    </row>
    <row r="159" spans="1:9" ht="57.6" customHeight="1" x14ac:dyDescent="0.3">
      <c r="A159" s="362">
        <v>159</v>
      </c>
      <c r="B159" s="183" t="s">
        <v>53</v>
      </c>
      <c r="C159" s="197" t="str">
        <f>CONCATENATE("Netto inkomsten (LET OP: Bij ",G3," het bedrag aan te ontvangen kindgebonden budget invullen, maar alleen in het geval deze ook kinderalimentatie ontvangt van ",E3,")")</f>
        <v>Netto inkomsten (LET OP: Bij AG het bedrag aan te ontvangen kindgebonden budget invullen, maar alleen in het geval deze ook kinderalimentatie ontvangt van AP)</v>
      </c>
      <c r="D159" s="451" t="s">
        <v>113</v>
      </c>
      <c r="E159" s="853">
        <v>0</v>
      </c>
      <c r="F159" s="874">
        <f>E159</f>
        <v>0</v>
      </c>
      <c r="G159" s="853">
        <v>0</v>
      </c>
      <c r="H159" s="857">
        <f>G159</f>
        <v>0</v>
      </c>
      <c r="I159" s="892" t="s">
        <v>387</v>
      </c>
    </row>
    <row r="160" spans="1:9" ht="28.8" x14ac:dyDescent="0.3">
      <c r="A160" s="364">
        <v>160</v>
      </c>
      <c r="B160" s="183"/>
      <c r="C160" s="221" t="s">
        <v>513</v>
      </c>
      <c r="D160" s="451"/>
      <c r="E160" s="848">
        <f>Basisgegevens!D141</f>
        <v>0</v>
      </c>
      <c r="F160" s="874">
        <f>E160</f>
        <v>0</v>
      </c>
      <c r="G160" s="848">
        <f>Basisgegevens!F141</f>
        <v>0</v>
      </c>
      <c r="H160" s="856">
        <f>G160</f>
        <v>0</v>
      </c>
      <c r="I160" s="892" t="s">
        <v>638</v>
      </c>
    </row>
    <row r="161" spans="1:9" ht="28.8" x14ac:dyDescent="0.3">
      <c r="A161" s="439">
        <v>161</v>
      </c>
      <c r="B161" s="183"/>
      <c r="C161" s="221" t="s">
        <v>634</v>
      </c>
      <c r="D161" s="451"/>
      <c r="E161" s="1061" t="s">
        <v>447</v>
      </c>
      <c r="F161" s="874">
        <f>Basisgegevens!C229*12</f>
        <v>0</v>
      </c>
      <c r="G161" s="1061" t="s">
        <v>447</v>
      </c>
      <c r="H161" s="856">
        <f>Basisgegevens!D229*12</f>
        <v>0</v>
      </c>
      <c r="I161" s="892" t="s">
        <v>637</v>
      </c>
    </row>
    <row r="162" spans="1:9" ht="29.4" thickBot="1" x14ac:dyDescent="0.35">
      <c r="A162" s="362">
        <v>162</v>
      </c>
      <c r="B162" s="360"/>
      <c r="C162" s="723" t="s">
        <v>635</v>
      </c>
      <c r="D162" s="462"/>
      <c r="E162" s="1002">
        <v>0</v>
      </c>
      <c r="F162" s="1016">
        <f>E162</f>
        <v>0</v>
      </c>
      <c r="G162" s="1002">
        <v>0</v>
      </c>
      <c r="H162" s="1017">
        <f>G162</f>
        <v>0</v>
      </c>
      <c r="I162" s="1026" t="s">
        <v>636</v>
      </c>
    </row>
    <row r="163" spans="1:9" ht="15" thickBot="1" x14ac:dyDescent="0.35">
      <c r="A163" s="364">
        <v>163</v>
      </c>
      <c r="B163" s="420" t="s">
        <v>53</v>
      </c>
      <c r="C163" s="421" t="s">
        <v>514</v>
      </c>
      <c r="D163" s="461"/>
      <c r="E163" s="940">
        <f>SUM(E159:E162)</f>
        <v>0</v>
      </c>
      <c r="F163" s="1004">
        <f t="shared" ref="F163:H163" si="15">SUM(F159:F162)</f>
        <v>0</v>
      </c>
      <c r="G163" s="940">
        <f t="shared" si="15"/>
        <v>0</v>
      </c>
      <c r="H163" s="1005">
        <f t="shared" si="15"/>
        <v>0</v>
      </c>
      <c r="I163" s="1060"/>
    </row>
    <row r="164" spans="1:9" ht="43.2" customHeight="1" x14ac:dyDescent="0.3">
      <c r="A164" s="439">
        <v>164</v>
      </c>
      <c r="B164" s="205" t="s">
        <v>54</v>
      </c>
      <c r="C164" s="192" t="s">
        <v>55</v>
      </c>
      <c r="D164" s="455" t="s">
        <v>107</v>
      </c>
      <c r="E164" s="979">
        <v>0</v>
      </c>
      <c r="F164" s="1012">
        <f>E164</f>
        <v>0</v>
      </c>
      <c r="G164" s="979"/>
      <c r="H164" s="1013">
        <f>G164</f>
        <v>0</v>
      </c>
      <c r="I164" s="950" t="s">
        <v>388</v>
      </c>
    </row>
    <row r="165" spans="1:9" x14ac:dyDescent="0.3">
      <c r="A165" s="362">
        <v>165</v>
      </c>
      <c r="B165" s="183"/>
      <c r="C165" s="220" t="s">
        <v>516</v>
      </c>
      <c r="D165" s="451"/>
      <c r="E165" s="853">
        <v>0</v>
      </c>
      <c r="F165" s="874">
        <f>E165</f>
        <v>0</v>
      </c>
      <c r="G165" s="853">
        <v>0</v>
      </c>
      <c r="H165" s="856">
        <f>G165</f>
        <v>0</v>
      </c>
      <c r="I165" s="887"/>
    </row>
    <row r="166" spans="1:9" ht="15" thickBot="1" x14ac:dyDescent="0.35">
      <c r="A166" s="364">
        <v>166</v>
      </c>
      <c r="B166" s="360"/>
      <c r="C166" s="422" t="s">
        <v>517</v>
      </c>
      <c r="D166" s="462"/>
      <c r="E166" s="1002">
        <v>0</v>
      </c>
      <c r="F166" s="1016">
        <f>E166</f>
        <v>0</v>
      </c>
      <c r="G166" s="1002">
        <v>0</v>
      </c>
      <c r="H166" s="1017">
        <f>G166</f>
        <v>0</v>
      </c>
      <c r="I166" s="987"/>
    </row>
    <row r="167" spans="1:9" ht="15" thickBot="1" x14ac:dyDescent="0.35">
      <c r="A167" s="439">
        <v>167</v>
      </c>
      <c r="B167" s="420" t="s">
        <v>54</v>
      </c>
      <c r="C167" s="421" t="s">
        <v>518</v>
      </c>
      <c r="D167" s="461"/>
      <c r="E167" s="940">
        <f>SUM(E164:E166)</f>
        <v>0</v>
      </c>
      <c r="F167" s="1004">
        <f>SUM(F164:F166)</f>
        <v>0</v>
      </c>
      <c r="G167" s="1005">
        <f>SUM(G164:G166)</f>
        <v>0</v>
      </c>
      <c r="H167" s="1005">
        <f>SUM(H164:H166)</f>
        <v>0</v>
      </c>
      <c r="I167" s="1060"/>
    </row>
    <row r="168" spans="1:9" ht="28.8" x14ac:dyDescent="0.3">
      <c r="A168" s="362">
        <v>168</v>
      </c>
      <c r="B168" s="205"/>
      <c r="C168" s="192" t="s">
        <v>389</v>
      </c>
      <c r="D168" s="455"/>
      <c r="E168" s="910">
        <f>E145-E156+E158+E163-E167</f>
        <v>0</v>
      </c>
      <c r="F168" s="1012">
        <f>F145-F156+F158+F163-F167</f>
        <v>0</v>
      </c>
      <c r="G168" s="910">
        <f>G145-G156+G158+G163-G167</f>
        <v>0</v>
      </c>
      <c r="H168" s="1013">
        <f>H145-H156+H158+H163-H167</f>
        <v>0</v>
      </c>
      <c r="I168" s="1051" t="s">
        <v>639</v>
      </c>
    </row>
    <row r="169" spans="1:9" x14ac:dyDescent="0.3">
      <c r="A169" s="364">
        <v>169</v>
      </c>
      <c r="B169" s="183"/>
      <c r="C169" s="1512" t="s">
        <v>390</v>
      </c>
      <c r="D169" s="471" t="s">
        <v>107</v>
      </c>
      <c r="E169" s="1528">
        <v>0</v>
      </c>
      <c r="F169" s="1529">
        <v>0</v>
      </c>
      <c r="G169" s="1528">
        <v>0</v>
      </c>
      <c r="H169" s="1530">
        <v>0</v>
      </c>
      <c r="I169" s="1527" t="s">
        <v>381</v>
      </c>
    </row>
    <row r="170" spans="1:9" x14ac:dyDescent="0.3">
      <c r="A170" s="439">
        <v>170</v>
      </c>
      <c r="B170" s="183"/>
      <c r="C170" s="1280" t="s">
        <v>391</v>
      </c>
      <c r="D170" s="451" t="s">
        <v>107</v>
      </c>
      <c r="E170" s="848">
        <f>E167</f>
        <v>0</v>
      </c>
      <c r="F170" s="874">
        <f>F167</f>
        <v>0</v>
      </c>
      <c r="G170" s="848">
        <f>G167</f>
        <v>0</v>
      </c>
      <c r="H170" s="856">
        <f>H167</f>
        <v>0</v>
      </c>
      <c r="I170" s="887"/>
    </row>
    <row r="171" spans="1:9" ht="15" thickBot="1" x14ac:dyDescent="0.35">
      <c r="A171" s="362">
        <v>171</v>
      </c>
      <c r="B171" s="360"/>
      <c r="C171" s="209" t="s">
        <v>640</v>
      </c>
      <c r="D171" s="462" t="s">
        <v>107</v>
      </c>
      <c r="E171" s="1061" t="s">
        <v>447</v>
      </c>
      <c r="F171" s="1016">
        <f>F86</f>
        <v>0</v>
      </c>
      <c r="G171" s="1061" t="s">
        <v>447</v>
      </c>
      <c r="H171" s="1017"/>
      <c r="I171" s="987"/>
    </row>
    <row r="172" spans="1:9" ht="29.4" thickBot="1" x14ac:dyDescent="0.35">
      <c r="A172" s="364">
        <v>172</v>
      </c>
      <c r="B172" s="1062">
        <v>120</v>
      </c>
      <c r="C172" s="1063" t="s">
        <v>56</v>
      </c>
      <c r="D172" s="1064"/>
      <c r="E172" s="1065">
        <f>E145-E156+E158+E163-E167</f>
        <v>0</v>
      </c>
      <c r="F172" s="1066">
        <f>F145-F156+F158+F163-F167-F171</f>
        <v>0</v>
      </c>
      <c r="G172" s="1065">
        <f>G145-G156+G158+G163-G167</f>
        <v>0</v>
      </c>
      <c r="H172" s="1067">
        <f>H145-H156+H158+H163-H167-H171</f>
        <v>0</v>
      </c>
      <c r="I172" s="1068" t="s">
        <v>641</v>
      </c>
    </row>
    <row r="173" spans="1:9" ht="15" thickBot="1" x14ac:dyDescent="0.35">
      <c r="A173" s="439">
        <v>173</v>
      </c>
      <c r="B173" s="420">
        <v>121</v>
      </c>
      <c r="C173" s="423" t="s">
        <v>745</v>
      </c>
      <c r="D173" s="442"/>
      <c r="E173" s="940">
        <f>E172/12</f>
        <v>0</v>
      </c>
      <c r="F173" s="1004">
        <f>F172/12</f>
        <v>0</v>
      </c>
      <c r="G173" s="940">
        <f>G172/12</f>
        <v>0</v>
      </c>
      <c r="H173" s="1005">
        <f>H172/12</f>
        <v>0</v>
      </c>
      <c r="I173" s="943" t="s">
        <v>393</v>
      </c>
    </row>
    <row r="174" spans="1:9" ht="15" thickBot="1" x14ac:dyDescent="0.35">
      <c r="A174" s="362">
        <v>174</v>
      </c>
      <c r="B174" s="446"/>
      <c r="C174" s="355"/>
      <c r="D174" s="453"/>
      <c r="E174" s="1069"/>
      <c r="F174" s="1049"/>
      <c r="G174" s="1069"/>
      <c r="H174" s="1050"/>
      <c r="I174" s="1070"/>
    </row>
    <row r="175" spans="1:9" ht="15" thickBot="1" x14ac:dyDescent="0.35">
      <c r="A175" s="364">
        <v>175</v>
      </c>
      <c r="B175" s="1071"/>
      <c r="C175" s="1072" t="s">
        <v>646</v>
      </c>
      <c r="D175" s="1073"/>
      <c r="E175" s="1074">
        <f>F173/3</f>
        <v>0</v>
      </c>
      <c r="F175" s="1075">
        <f>F173*Basisgegevens!$C151</f>
        <v>0</v>
      </c>
      <c r="G175" s="1074">
        <f>G173/3</f>
        <v>0</v>
      </c>
      <c r="H175" s="1076">
        <f>H173*Basisgegevens!$C151</f>
        <v>0</v>
      </c>
      <c r="I175" s="1077"/>
    </row>
    <row r="176" spans="1:9" ht="15" thickBot="1" x14ac:dyDescent="0.35">
      <c r="A176" s="439">
        <v>176</v>
      </c>
      <c r="B176" s="446"/>
      <c r="C176" s="919"/>
      <c r="D176" s="453"/>
      <c r="E176" s="1069"/>
      <c r="F176" s="996"/>
      <c r="G176" s="1069"/>
      <c r="H176" s="997"/>
      <c r="I176" s="1078"/>
    </row>
    <row r="177" spans="1:11" ht="21.6" thickBot="1" x14ac:dyDescent="0.35">
      <c r="A177" s="362">
        <v>177</v>
      </c>
      <c r="B177" s="374"/>
      <c r="C177" s="417" t="s">
        <v>520</v>
      </c>
      <c r="D177" s="448"/>
      <c r="E177" s="915"/>
      <c r="F177" s="916"/>
      <c r="G177" s="915"/>
      <c r="H177" s="917"/>
      <c r="I177" s="1082"/>
    </row>
    <row r="178" spans="1:11" ht="18" outlineLevel="2" x14ac:dyDescent="0.3">
      <c r="A178" s="364">
        <v>178</v>
      </c>
      <c r="B178" s="205"/>
      <c r="C178" s="376" t="s">
        <v>59</v>
      </c>
      <c r="D178" s="457"/>
      <c r="E178" s="956"/>
      <c r="F178" s="1079"/>
      <c r="G178" s="956"/>
      <c r="H178" s="1080"/>
      <c r="I178" s="1081"/>
    </row>
    <row r="179" spans="1:11" outlineLevel="2" x14ac:dyDescent="0.3">
      <c r="A179" s="439">
        <v>179</v>
      </c>
      <c r="B179" s="183">
        <v>122</v>
      </c>
      <c r="C179" s="190" t="s">
        <v>642</v>
      </c>
      <c r="D179" s="464"/>
      <c r="E179" s="848">
        <f>IF(Basisgegevens!$C$10="Nee",Basisgegevens!$H$244,Basisgegevens!$H$248)</f>
        <v>1154.03</v>
      </c>
      <c r="F179" s="875">
        <f>Basisgegevens!C162</f>
        <v>1020</v>
      </c>
      <c r="G179" s="848">
        <f>IF(Basisgegevens!$D$10="Nee",Basisgegevens!$H$244,Basisgegevens!$H$248)</f>
        <v>1154.03</v>
      </c>
      <c r="H179" s="857">
        <f>Basisgegevens!D162</f>
        <v>1020</v>
      </c>
      <c r="I179" s="887"/>
    </row>
    <row r="180" spans="1:11" ht="15.6" outlineLevel="2" x14ac:dyDescent="0.3">
      <c r="A180" s="362">
        <v>180</v>
      </c>
      <c r="B180" s="183">
        <v>123</v>
      </c>
      <c r="C180" s="829" t="s">
        <v>57</v>
      </c>
      <c r="D180" s="464"/>
      <c r="E180" s="851"/>
      <c r="F180" s="871"/>
      <c r="G180" s="851"/>
      <c r="H180" s="850"/>
      <c r="I180" s="895"/>
    </row>
    <row r="181" spans="1:11" outlineLevel="2" x14ac:dyDescent="0.3">
      <c r="A181" s="364">
        <v>181</v>
      </c>
      <c r="B181" s="183"/>
      <c r="C181" s="830" t="str">
        <f>CONCATENATE("- Forfaitaire woonlast a ",Basisgegevens!C152*100,"% van het NBI (t.b.v. berekenen kinderalimentatie)")</f>
        <v>- Forfaitaire woonlast a 30% van het NBI (t.b.v. berekenen kinderalimentatie)</v>
      </c>
      <c r="D181" s="464"/>
      <c r="E181" s="851"/>
      <c r="F181" s="875">
        <f>Basisgegevens!$C$152*F173</f>
        <v>0</v>
      </c>
      <c r="G181" s="851"/>
      <c r="H181" s="857">
        <f>Basisgegevens!$C$152*H173</f>
        <v>0</v>
      </c>
      <c r="I181" s="896" t="s">
        <v>749</v>
      </c>
    </row>
    <row r="182" spans="1:11" ht="43.2" outlineLevel="2" x14ac:dyDescent="0.3">
      <c r="A182" s="439">
        <v>182</v>
      </c>
      <c r="B182" s="183"/>
      <c r="C182" s="831" t="s">
        <v>643</v>
      </c>
      <c r="D182" s="451" t="s">
        <v>113</v>
      </c>
      <c r="E182" s="848">
        <f>Basisgegevens!C163</f>
        <v>0</v>
      </c>
      <c r="F182" s="2198" t="s">
        <v>447</v>
      </c>
      <c r="G182" s="848">
        <f>Basisgegevens!D163</f>
        <v>0</v>
      </c>
      <c r="H182" s="2200" t="s">
        <v>447</v>
      </c>
      <c r="I182" s="890" t="s">
        <v>395</v>
      </c>
    </row>
    <row r="183" spans="1:11" outlineLevel="2" x14ac:dyDescent="0.3">
      <c r="A183" s="362">
        <v>183</v>
      </c>
      <c r="B183" s="183"/>
      <c r="C183" s="220" t="s">
        <v>86</v>
      </c>
      <c r="D183" s="451" t="s">
        <v>107</v>
      </c>
      <c r="E183" s="848">
        <f>Basisgegevens!C164</f>
        <v>0</v>
      </c>
      <c r="F183" s="2203"/>
      <c r="G183" s="848">
        <f>Basisgegevens!D164</f>
        <v>0</v>
      </c>
      <c r="H183" s="2205"/>
      <c r="I183" s="890" t="s">
        <v>399</v>
      </c>
    </row>
    <row r="184" spans="1:11" outlineLevel="2" x14ac:dyDescent="0.3">
      <c r="A184" s="364">
        <v>184</v>
      </c>
      <c r="B184" s="425"/>
      <c r="C184" s="221" t="s">
        <v>58</v>
      </c>
      <c r="D184" s="451" t="s">
        <v>113</v>
      </c>
      <c r="E184" s="848">
        <f>Basisgegevens!E118+Basisgegevens!G130</f>
        <v>0</v>
      </c>
      <c r="F184" s="2203"/>
      <c r="G184" s="848">
        <f>Basisgegevens!G118+Basisgegevens!E130</f>
        <v>0</v>
      </c>
      <c r="H184" s="2205"/>
      <c r="I184" s="897" t="s">
        <v>400</v>
      </c>
    </row>
    <row r="185" spans="1:11" outlineLevel="2" x14ac:dyDescent="0.3">
      <c r="A185" s="439">
        <v>185</v>
      </c>
      <c r="B185" s="425"/>
      <c r="C185" s="221" t="s">
        <v>129</v>
      </c>
      <c r="D185" s="451" t="s">
        <v>113</v>
      </c>
      <c r="E185" s="848">
        <f>Basisgegevens!E117+Basisgegevens!G129</f>
        <v>0</v>
      </c>
      <c r="F185" s="2203"/>
      <c r="G185" s="848">
        <f>Basisgegevens!G117+Basisgegevens!E129</f>
        <v>0</v>
      </c>
      <c r="H185" s="2205"/>
      <c r="I185" s="897" t="s">
        <v>401</v>
      </c>
    </row>
    <row r="186" spans="1:11" outlineLevel="2" x14ac:dyDescent="0.3">
      <c r="A186" s="362">
        <v>186</v>
      </c>
      <c r="B186" s="183"/>
      <c r="C186" s="220" t="s">
        <v>60</v>
      </c>
      <c r="D186" s="451" t="s">
        <v>113</v>
      </c>
      <c r="E186" s="848">
        <f>Basisgegevens!E121+Basisgegevens!G133</f>
        <v>0</v>
      </c>
      <c r="F186" s="2203"/>
      <c r="G186" s="848">
        <f>Basisgegevens!G121+Basisgegevens!E133</f>
        <v>0</v>
      </c>
      <c r="H186" s="2205"/>
      <c r="I186" s="890" t="s">
        <v>397</v>
      </c>
    </row>
    <row r="187" spans="1:11" ht="57.6" outlineLevel="2" x14ac:dyDescent="0.3">
      <c r="A187" s="364">
        <v>187</v>
      </c>
      <c r="B187" s="183"/>
      <c r="C187" s="220" t="s">
        <v>61</v>
      </c>
      <c r="D187" s="451" t="s">
        <v>113</v>
      </c>
      <c r="E187" s="848">
        <f>Basisgegevens!C165</f>
        <v>0</v>
      </c>
      <c r="F187" s="2203"/>
      <c r="G187" s="848">
        <f>Basisgegevens!D165</f>
        <v>0</v>
      </c>
      <c r="H187" s="2205"/>
      <c r="I187" s="890" t="s">
        <v>392</v>
      </c>
      <c r="K187" s="1">
        <f>700+450-226</f>
        <v>924</v>
      </c>
    </row>
    <row r="188" spans="1:11" outlineLevel="2" x14ac:dyDescent="0.3">
      <c r="A188" s="439">
        <v>188</v>
      </c>
      <c r="B188" s="425"/>
      <c r="C188" s="197" t="s">
        <v>331</v>
      </c>
      <c r="D188" s="451" t="s">
        <v>107</v>
      </c>
      <c r="E188" s="848">
        <f>Basisgegevens!C166</f>
        <v>226</v>
      </c>
      <c r="F188" s="2203"/>
      <c r="G188" s="848">
        <f>Basisgegevens!D166</f>
        <v>226</v>
      </c>
      <c r="H188" s="2205"/>
      <c r="I188" s="892"/>
    </row>
    <row r="189" spans="1:11" ht="28.8" outlineLevel="2" x14ac:dyDescent="0.3">
      <c r="A189" s="362">
        <v>189</v>
      </c>
      <c r="B189" s="425"/>
      <c r="C189" s="197" t="s">
        <v>650</v>
      </c>
      <c r="D189" s="451" t="s">
        <v>107</v>
      </c>
      <c r="E189" s="853">
        <v>0</v>
      </c>
      <c r="F189" s="2203"/>
      <c r="G189" s="853">
        <v>0</v>
      </c>
      <c r="H189" s="2205"/>
      <c r="I189" s="892" t="s">
        <v>921</v>
      </c>
    </row>
    <row r="190" spans="1:11" ht="43.8" outlineLevel="2" thickBot="1" x14ac:dyDescent="0.35">
      <c r="A190" s="364">
        <v>190</v>
      </c>
      <c r="B190" s="360"/>
      <c r="C190" s="209" t="s">
        <v>651</v>
      </c>
      <c r="D190" s="462" t="s">
        <v>107</v>
      </c>
      <c r="E190" s="1002">
        <v>0</v>
      </c>
      <c r="F190" s="2204"/>
      <c r="G190" s="1002">
        <v>0</v>
      </c>
      <c r="H190" s="2206"/>
      <c r="I190" s="987" t="s">
        <v>920</v>
      </c>
    </row>
    <row r="191" spans="1:11" ht="15" outlineLevel="1" thickBot="1" x14ac:dyDescent="0.35">
      <c r="A191" s="439">
        <v>191</v>
      </c>
      <c r="B191" s="420">
        <v>123</v>
      </c>
      <c r="C191" s="1085" t="s">
        <v>88</v>
      </c>
      <c r="D191" s="442"/>
      <c r="E191" s="940">
        <f>E182-E183+SUM(E184:E187)-SUM(E188:E190)</f>
        <v>-226</v>
      </c>
      <c r="F191" s="941">
        <f>F181</f>
        <v>0</v>
      </c>
      <c r="G191" s="940">
        <f>G182-G183+SUM(G184:G187)-SUM(G188:G190)</f>
        <v>-226</v>
      </c>
      <c r="H191" s="942">
        <f>H181</f>
        <v>0</v>
      </c>
      <c r="I191" s="1086"/>
    </row>
    <row r="192" spans="1:11" outlineLevel="1" x14ac:dyDescent="0.3">
      <c r="A192" s="362">
        <v>192</v>
      </c>
      <c r="B192" s="375"/>
      <c r="C192" s="1083"/>
      <c r="D192" s="472"/>
      <c r="E192" s="956"/>
      <c r="F192" s="999"/>
      <c r="G192" s="956"/>
      <c r="H192" s="1000"/>
      <c r="I192" s="1084"/>
    </row>
    <row r="193" spans="1:9" outlineLevel="1" x14ac:dyDescent="0.3">
      <c r="A193" s="364">
        <v>193</v>
      </c>
      <c r="B193" s="425"/>
      <c r="C193" s="735" t="s">
        <v>652</v>
      </c>
      <c r="D193" s="732"/>
      <c r="E193" s="851"/>
      <c r="F193" s="842"/>
      <c r="G193" s="851"/>
      <c r="H193" s="854"/>
      <c r="I193" s="898"/>
    </row>
    <row r="194" spans="1:9" outlineLevel="1" x14ac:dyDescent="0.3">
      <c r="A194" s="439">
        <v>194</v>
      </c>
      <c r="B194" s="425"/>
      <c r="C194" s="731" t="s">
        <v>649</v>
      </c>
      <c r="D194" s="732"/>
      <c r="E194" s="848">
        <f>F173</f>
        <v>0</v>
      </c>
      <c r="F194" s="2198" t="s">
        <v>447</v>
      </c>
      <c r="G194" s="848">
        <f>H173</f>
        <v>0</v>
      </c>
      <c r="H194" s="2200" t="s">
        <v>447</v>
      </c>
      <c r="I194" s="898"/>
    </row>
    <row r="195" spans="1:9" outlineLevel="1" x14ac:dyDescent="0.3">
      <c r="A195" s="362">
        <v>195</v>
      </c>
      <c r="B195" s="425"/>
      <c r="C195" s="731" t="s">
        <v>647</v>
      </c>
      <c r="D195" s="732"/>
      <c r="E195" s="848">
        <f>E182-E183+SUM(E184:E187)+E110</f>
        <v>0</v>
      </c>
      <c r="F195" s="2199"/>
      <c r="G195" s="848">
        <f>G182-G183+SUM(G184:G187)+G110</f>
        <v>0</v>
      </c>
      <c r="H195" s="2201"/>
      <c r="I195" s="898"/>
    </row>
    <row r="196" spans="1:9" outlineLevel="1" x14ac:dyDescent="0.3">
      <c r="A196" s="364">
        <v>196</v>
      </c>
      <c r="B196" s="425"/>
      <c r="C196" s="731" t="s">
        <v>648</v>
      </c>
      <c r="D196" s="732"/>
      <c r="E196" s="848">
        <f>E194/3</f>
        <v>0</v>
      </c>
      <c r="F196" s="2199"/>
      <c r="G196" s="848">
        <f>G194/3</f>
        <v>0</v>
      </c>
      <c r="H196" s="2201"/>
      <c r="I196" s="898"/>
    </row>
    <row r="197" spans="1:9" outlineLevel="1" x14ac:dyDescent="0.3">
      <c r="A197" s="439">
        <v>197</v>
      </c>
      <c r="B197" s="425"/>
      <c r="C197" s="734" t="s">
        <v>653</v>
      </c>
      <c r="D197" s="732"/>
      <c r="E197" s="848">
        <f>E196-E195</f>
        <v>0</v>
      </c>
      <c r="F197" s="2199"/>
      <c r="G197" s="848">
        <f>G196-G195</f>
        <v>0</v>
      </c>
      <c r="H197" s="2201"/>
      <c r="I197" s="898"/>
    </row>
    <row r="198" spans="1:9" outlineLevel="1" x14ac:dyDescent="0.3">
      <c r="A198" s="362">
        <v>198</v>
      </c>
      <c r="B198" s="1087"/>
      <c r="C198" s="737" t="s">
        <v>654</v>
      </c>
      <c r="D198" s="1088"/>
      <c r="E198" s="2207" t="str">
        <f>IF(E197&lt;0.01,CONCATENATE("Woonlast is € ",ROUND(E197*-1,0)," te hoog, Onredelijk?"),CONCATENATE("Woonlast is €",ROUND(E197,0)," onder max."))</f>
        <v>Woonlast is € 0 te hoog, Onredelijk?</v>
      </c>
      <c r="F198" s="2208"/>
      <c r="G198" s="2207" t="str">
        <f>IF(G197&lt;0.01,CONCATENATE("Woonlast is € ",ROUND(G197*-1,0)," te hoog, Onredelijk?"),CONCATENATE("Woonlast is €",ROUND(G197,0)," onder max."))</f>
        <v>Woonlast is € 0 te hoog, Onredelijk?</v>
      </c>
      <c r="H198" s="2209"/>
      <c r="I198" s="1089" t="s">
        <v>922</v>
      </c>
    </row>
    <row r="199" spans="1:9" ht="15" outlineLevel="1" thickBot="1" x14ac:dyDescent="0.35">
      <c r="A199" s="364">
        <v>199</v>
      </c>
      <c r="B199" s="662"/>
      <c r="C199" s="1090"/>
      <c r="D199" s="1091"/>
      <c r="E199" s="1356" t="s">
        <v>780</v>
      </c>
      <c r="F199" s="1355"/>
      <c r="G199" s="1356" t="s">
        <v>780</v>
      </c>
      <c r="H199" s="1355"/>
      <c r="I199" s="1092"/>
    </row>
    <row r="200" spans="1:9" ht="21.6" outlineLevel="1" thickBot="1" x14ac:dyDescent="0.35">
      <c r="A200" s="439">
        <v>200</v>
      </c>
      <c r="B200" s="1093"/>
      <c r="C200" s="1094" t="s">
        <v>448</v>
      </c>
      <c r="D200" s="1095"/>
      <c r="E200" s="1096"/>
      <c r="F200" s="1097"/>
      <c r="G200" s="1096"/>
      <c r="H200" s="1098"/>
      <c r="I200" s="1099"/>
    </row>
    <row r="201" spans="1:9" outlineLevel="2" x14ac:dyDescent="0.3">
      <c r="A201" s="362">
        <v>201</v>
      </c>
      <c r="B201" s="205"/>
      <c r="C201" s="192" t="s">
        <v>62</v>
      </c>
      <c r="D201" s="455" t="s">
        <v>113</v>
      </c>
      <c r="E201" s="910">
        <f>Basisgegevens!C191</f>
        <v>0</v>
      </c>
      <c r="F201" s="2189" t="s">
        <v>447</v>
      </c>
      <c r="G201" s="910">
        <f>Basisgegevens!D191</f>
        <v>0</v>
      </c>
      <c r="H201" s="2192" t="s">
        <v>447</v>
      </c>
      <c r="I201" s="950" t="s">
        <v>917</v>
      </c>
    </row>
    <row r="202" spans="1:9" outlineLevel="2" x14ac:dyDescent="0.3">
      <c r="A202" s="364">
        <v>202</v>
      </c>
      <c r="B202" s="183"/>
      <c r="C202" s="190" t="s">
        <v>63</v>
      </c>
      <c r="D202" s="451" t="s">
        <v>113</v>
      </c>
      <c r="E202" s="848">
        <f>Basisgegevens!C192</f>
        <v>0</v>
      </c>
      <c r="F202" s="2190"/>
      <c r="G202" s="848">
        <f>Basisgegevens!D192</f>
        <v>0</v>
      </c>
      <c r="H202" s="2193"/>
      <c r="I202" s="887" t="s">
        <v>916</v>
      </c>
    </row>
    <row r="203" spans="1:9" outlineLevel="2" x14ac:dyDescent="0.3">
      <c r="A203" s="439">
        <v>203</v>
      </c>
      <c r="B203" s="425"/>
      <c r="C203" s="197" t="s">
        <v>64</v>
      </c>
      <c r="D203" s="451" t="s">
        <v>113</v>
      </c>
      <c r="E203" s="848">
        <f>IF(Basisgegevens!C194="Ja",(Basisgegevens!C193/12),0)</f>
        <v>0</v>
      </c>
      <c r="F203" s="2190"/>
      <c r="G203" s="848">
        <f>IF(Basisgegevens!D194="Ja",(Basisgegevens!D193/12),0)</f>
        <v>0</v>
      </c>
      <c r="H203" s="2193"/>
      <c r="I203" s="892" t="s">
        <v>402</v>
      </c>
    </row>
    <row r="204" spans="1:9" outlineLevel="2" x14ac:dyDescent="0.3">
      <c r="A204" s="362">
        <v>204</v>
      </c>
      <c r="B204" s="425"/>
      <c r="C204" s="197" t="s">
        <v>538</v>
      </c>
      <c r="D204" s="451"/>
      <c r="E204" s="853">
        <v>0</v>
      </c>
      <c r="F204" s="2190"/>
      <c r="G204" s="862"/>
      <c r="H204" s="2193"/>
      <c r="I204" s="892"/>
    </row>
    <row r="205" spans="1:9" outlineLevel="2" x14ac:dyDescent="0.3">
      <c r="A205" s="364">
        <v>205</v>
      </c>
      <c r="B205" s="183"/>
      <c r="C205" s="1512" t="s">
        <v>65</v>
      </c>
      <c r="D205" s="473"/>
      <c r="E205" s="1514">
        <v>0</v>
      </c>
      <c r="F205" s="2190"/>
      <c r="G205" s="1514">
        <v>0</v>
      </c>
      <c r="H205" s="2193"/>
      <c r="I205" s="1527" t="s">
        <v>381</v>
      </c>
    </row>
    <row r="206" spans="1:9" outlineLevel="2" x14ac:dyDescent="0.3">
      <c r="A206" s="439">
        <v>206</v>
      </c>
      <c r="B206" s="183"/>
      <c r="C206" s="1512" t="s">
        <v>66</v>
      </c>
      <c r="D206" s="466"/>
      <c r="E206" s="1514">
        <v>0</v>
      </c>
      <c r="F206" s="2190"/>
      <c r="G206" s="1514">
        <v>0</v>
      </c>
      <c r="H206" s="2193"/>
      <c r="I206" s="1527" t="s">
        <v>381</v>
      </c>
    </row>
    <row r="207" spans="1:9" outlineLevel="2" x14ac:dyDescent="0.3">
      <c r="A207" s="362">
        <v>207</v>
      </c>
      <c r="B207" s="447"/>
      <c r="C207" s="741" t="s">
        <v>68</v>
      </c>
      <c r="D207" s="471" t="s">
        <v>113</v>
      </c>
      <c r="E207" s="862">
        <v>0</v>
      </c>
      <c r="F207" s="2190"/>
      <c r="G207" s="862">
        <v>0</v>
      </c>
      <c r="H207" s="2193"/>
      <c r="I207" s="887" t="s">
        <v>918</v>
      </c>
    </row>
    <row r="208" spans="1:9" outlineLevel="2" x14ac:dyDescent="0.3">
      <c r="A208" s="364">
        <v>208</v>
      </c>
      <c r="B208" s="183"/>
      <c r="C208" s="190" t="s">
        <v>67</v>
      </c>
      <c r="D208" s="451" t="s">
        <v>107</v>
      </c>
      <c r="E208" s="848">
        <f>Basisgegevens!C195</f>
        <v>35</v>
      </c>
      <c r="F208" s="2190"/>
      <c r="G208" s="848">
        <f>Basisgegevens!D195</f>
        <v>35</v>
      </c>
      <c r="H208" s="2193"/>
      <c r="I208" s="887"/>
    </row>
    <row r="209" spans="1:9" ht="15" outlineLevel="2" thickBot="1" x14ac:dyDescent="0.35">
      <c r="A209" s="439">
        <v>209</v>
      </c>
      <c r="B209" s="360"/>
      <c r="C209" s="209" t="s">
        <v>69</v>
      </c>
      <c r="D209" s="462" t="s">
        <v>107</v>
      </c>
      <c r="E209" s="989">
        <f>Basisgegevens!C196</f>
        <v>0</v>
      </c>
      <c r="F209" s="2191"/>
      <c r="G209" s="989">
        <f>Basisgegevens!D196</f>
        <v>0</v>
      </c>
      <c r="H209" s="2194"/>
      <c r="I209" s="987" t="s">
        <v>919</v>
      </c>
    </row>
    <row r="210" spans="1:9" s="228" customFormat="1" ht="15" outlineLevel="1" thickBot="1" x14ac:dyDescent="0.35">
      <c r="A210" s="362">
        <v>210</v>
      </c>
      <c r="B210" s="429">
        <v>124</v>
      </c>
      <c r="C210" s="426" t="s">
        <v>449</v>
      </c>
      <c r="D210" s="474"/>
      <c r="E210" s="1100">
        <f>SUM(E201:E207)-SUM(E208:E209)</f>
        <v>-35</v>
      </c>
      <c r="F210" s="941">
        <v>0</v>
      </c>
      <c r="G210" s="1100">
        <f>SUM(G201:G207)-SUM(G208:G209)</f>
        <v>-35</v>
      </c>
      <c r="H210" s="942">
        <v>0</v>
      </c>
      <c r="I210" s="1101"/>
    </row>
    <row r="211" spans="1:9" ht="72" outlineLevel="2" x14ac:dyDescent="0.3">
      <c r="A211" s="364">
        <v>211</v>
      </c>
      <c r="B211" s="205">
        <v>125</v>
      </c>
      <c r="C211" s="229" t="s">
        <v>743</v>
      </c>
      <c r="D211" s="455" t="s">
        <v>113</v>
      </c>
      <c r="E211" s="910">
        <f>E86/12</f>
        <v>0</v>
      </c>
      <c r="F211" s="2189" t="s">
        <v>447</v>
      </c>
      <c r="G211" s="910">
        <f>G86/12</f>
        <v>0</v>
      </c>
      <c r="H211" s="2192" t="s">
        <v>447</v>
      </c>
      <c r="I211" s="1019" t="s">
        <v>403</v>
      </c>
    </row>
    <row r="212" spans="1:9" outlineLevel="2" x14ac:dyDescent="0.3">
      <c r="A212" s="439">
        <v>212</v>
      </c>
      <c r="B212" s="205">
        <v>125</v>
      </c>
      <c r="C212" s="229" t="s">
        <v>744</v>
      </c>
      <c r="D212" s="455"/>
      <c r="E212" s="853">
        <v>0</v>
      </c>
      <c r="F212" s="2189"/>
      <c r="G212" s="853">
        <v>0</v>
      </c>
      <c r="H212" s="2192"/>
      <c r="I212" s="1019"/>
    </row>
    <row r="213" spans="1:9" ht="28.8" outlineLevel="2" x14ac:dyDescent="0.3">
      <c r="A213" s="362">
        <v>213</v>
      </c>
      <c r="B213" s="183">
        <v>126</v>
      </c>
      <c r="C213" s="190" t="s">
        <v>70</v>
      </c>
      <c r="D213" s="451" t="s">
        <v>113</v>
      </c>
      <c r="E213" s="853">
        <v>0</v>
      </c>
      <c r="F213" s="2190"/>
      <c r="G213" s="853">
        <v>0</v>
      </c>
      <c r="H213" s="2193"/>
      <c r="I213" s="887" t="s">
        <v>404</v>
      </c>
    </row>
    <row r="214" spans="1:9" outlineLevel="2" x14ac:dyDescent="0.3">
      <c r="A214" s="364">
        <v>214</v>
      </c>
      <c r="B214" s="419">
        <v>127</v>
      </c>
      <c r="C214" s="1512" t="s">
        <v>71</v>
      </c>
      <c r="D214" s="451" t="s">
        <v>113</v>
      </c>
      <c r="E214" s="1514">
        <v>0</v>
      </c>
      <c r="F214" s="2190"/>
      <c r="G214" s="1514">
        <v>0</v>
      </c>
      <c r="H214" s="2193"/>
      <c r="I214" s="1527" t="s">
        <v>381</v>
      </c>
    </row>
    <row r="215" spans="1:9" ht="28.8" outlineLevel="2" x14ac:dyDescent="0.3">
      <c r="A215" s="439">
        <v>215</v>
      </c>
      <c r="B215" s="425">
        <v>128</v>
      </c>
      <c r="C215" s="197" t="s">
        <v>72</v>
      </c>
      <c r="D215" s="451" t="s">
        <v>113</v>
      </c>
      <c r="E215" s="853">
        <v>0</v>
      </c>
      <c r="F215" s="2190"/>
      <c r="G215" s="853">
        <v>0</v>
      </c>
      <c r="H215" s="2193"/>
      <c r="I215" s="899" t="s">
        <v>410</v>
      </c>
    </row>
    <row r="216" spans="1:9" ht="28.8" outlineLevel="2" x14ac:dyDescent="0.3">
      <c r="A216" s="362">
        <v>216</v>
      </c>
      <c r="B216" s="425">
        <v>129</v>
      </c>
      <c r="C216" s="197" t="s">
        <v>73</v>
      </c>
      <c r="D216" s="451" t="s">
        <v>113</v>
      </c>
      <c r="E216" s="853">
        <v>0</v>
      </c>
      <c r="F216" s="2190"/>
      <c r="G216" s="853">
        <v>0</v>
      </c>
      <c r="H216" s="2193"/>
      <c r="I216" s="892" t="s">
        <v>405</v>
      </c>
    </row>
    <row r="217" spans="1:9" ht="43.2" outlineLevel="2" x14ac:dyDescent="0.3">
      <c r="A217" s="364">
        <v>217</v>
      </c>
      <c r="B217" s="183">
        <v>130</v>
      </c>
      <c r="C217" s="190" t="s">
        <v>74</v>
      </c>
      <c r="D217" s="451" t="s">
        <v>113</v>
      </c>
      <c r="E217" s="853">
        <v>0</v>
      </c>
      <c r="F217" s="2190"/>
      <c r="G217" s="853">
        <v>0</v>
      </c>
      <c r="H217" s="2193"/>
      <c r="I217" s="887" t="s">
        <v>409</v>
      </c>
    </row>
    <row r="218" spans="1:9" ht="28.8" outlineLevel="2" x14ac:dyDescent="0.3">
      <c r="A218" s="439">
        <v>218</v>
      </c>
      <c r="B218" s="183">
        <v>131</v>
      </c>
      <c r="C218" s="190" t="s">
        <v>75</v>
      </c>
      <c r="D218" s="451" t="s">
        <v>113</v>
      </c>
      <c r="E218" s="853">
        <v>0</v>
      </c>
      <c r="F218" s="2190"/>
      <c r="G218" s="853">
        <v>0</v>
      </c>
      <c r="H218" s="2193"/>
      <c r="I218" s="887" t="s">
        <v>406</v>
      </c>
    </row>
    <row r="219" spans="1:9" ht="43.2" outlineLevel="2" x14ac:dyDescent="0.3">
      <c r="A219" s="362">
        <v>219</v>
      </c>
      <c r="B219" s="183">
        <v>132</v>
      </c>
      <c r="C219" s="190" t="s">
        <v>76</v>
      </c>
      <c r="D219" s="451" t="s">
        <v>113</v>
      </c>
      <c r="E219" s="853">
        <v>0</v>
      </c>
      <c r="F219" s="2190"/>
      <c r="G219" s="853">
        <v>0</v>
      </c>
      <c r="H219" s="2193"/>
      <c r="I219" s="887" t="s">
        <v>407</v>
      </c>
    </row>
    <row r="220" spans="1:9" ht="72" outlineLevel="2" x14ac:dyDescent="0.3">
      <c r="A220" s="364">
        <v>220</v>
      </c>
      <c r="B220" s="183">
        <v>133</v>
      </c>
      <c r="C220" s="190" t="s">
        <v>77</v>
      </c>
      <c r="D220" s="451" t="s">
        <v>113</v>
      </c>
      <c r="E220" s="853">
        <v>0</v>
      </c>
      <c r="F220" s="2190"/>
      <c r="G220" s="853">
        <v>0</v>
      </c>
      <c r="H220" s="2193"/>
      <c r="I220" s="887" t="s">
        <v>408</v>
      </c>
    </row>
    <row r="221" spans="1:9" ht="72.599999999999994" outlineLevel="2" thickBot="1" x14ac:dyDescent="0.35">
      <c r="A221" s="439">
        <v>221</v>
      </c>
      <c r="B221" s="360">
        <v>134</v>
      </c>
      <c r="C221" s="230" t="s">
        <v>78</v>
      </c>
      <c r="D221" s="462" t="s">
        <v>113</v>
      </c>
      <c r="E221" s="1002">
        <v>0</v>
      </c>
      <c r="F221" s="2191"/>
      <c r="G221" s="1002">
        <v>0</v>
      </c>
      <c r="H221" s="2194"/>
      <c r="I221" s="1026" t="s">
        <v>644</v>
      </c>
    </row>
    <row r="222" spans="1:9" ht="16.2" thickBot="1" x14ac:dyDescent="0.35">
      <c r="A222" s="362">
        <v>222</v>
      </c>
      <c r="B222" s="420">
        <v>135</v>
      </c>
      <c r="C222" s="427" t="s">
        <v>540</v>
      </c>
      <c r="D222" s="461" t="s">
        <v>107</v>
      </c>
      <c r="E222" s="940">
        <f>E179+E191+E210+SUM(E211:E221)</f>
        <v>893.03</v>
      </c>
      <c r="F222" s="1004">
        <f>IF(F173&lt;Basisgegevens!$E$176,Basisgegevens!$C$162,F179+F191+F210+SUM(F211:F221))</f>
        <v>1020</v>
      </c>
      <c r="G222" s="940">
        <f>G179+G191+G210+SUM(G211:G221)</f>
        <v>893.03</v>
      </c>
      <c r="H222" s="1004">
        <f>IF(H173&lt;Basisgegevens!$E$176,Basisgegevens!$D$162,H179+H191+H210+SUM(H211:H221))</f>
        <v>1020</v>
      </c>
      <c r="I222" s="943" t="s">
        <v>411</v>
      </c>
    </row>
    <row r="223" spans="1:9" ht="15" thickBot="1" x14ac:dyDescent="0.35">
      <c r="A223" s="364">
        <v>223</v>
      </c>
      <c r="B223" s="446"/>
      <c r="C223" s="919"/>
      <c r="D223" s="453"/>
      <c r="E223" s="1069"/>
      <c r="F223" s="996"/>
      <c r="G223" s="1069"/>
      <c r="H223" s="997"/>
      <c r="I223" s="1078"/>
    </row>
    <row r="224" spans="1:9" ht="21.6" thickBot="1" x14ac:dyDescent="0.35">
      <c r="A224" s="439">
        <v>224</v>
      </c>
      <c r="B224" s="378"/>
      <c r="C224" s="377" t="s">
        <v>79</v>
      </c>
      <c r="D224" s="475"/>
      <c r="E224" s="1102"/>
      <c r="F224" s="1103"/>
      <c r="G224" s="1102"/>
      <c r="H224" s="1104"/>
      <c r="I224" s="1105"/>
    </row>
    <row r="225" spans="1:9" outlineLevel="1" x14ac:dyDescent="0.3">
      <c r="A225" s="362">
        <v>225</v>
      </c>
      <c r="B225" s="205"/>
      <c r="C225" s="1106" t="str">
        <f>C173</f>
        <v>Netto Besteedbaar Inkomen (NBI) per maand:</v>
      </c>
      <c r="D225" s="455"/>
      <c r="E225" s="910">
        <f>E173</f>
        <v>0</v>
      </c>
      <c r="F225" s="1012">
        <f>F173</f>
        <v>0</v>
      </c>
      <c r="G225" s="910">
        <f>G173</f>
        <v>0</v>
      </c>
      <c r="H225" s="1013">
        <f>H173</f>
        <v>0</v>
      </c>
      <c r="I225" s="950"/>
    </row>
    <row r="226" spans="1:9" ht="15" outlineLevel="1" thickBot="1" x14ac:dyDescent="0.35">
      <c r="A226" s="364">
        <v>226</v>
      </c>
      <c r="B226" s="360"/>
      <c r="C226" s="1107" t="str">
        <f>C222</f>
        <v>Draagkrachtloos inkomen:</v>
      </c>
      <c r="D226" s="462"/>
      <c r="E226" s="989">
        <f>E222</f>
        <v>893.03</v>
      </c>
      <c r="F226" s="1016">
        <f>F222</f>
        <v>1020</v>
      </c>
      <c r="G226" s="989">
        <f>G222</f>
        <v>893.03</v>
      </c>
      <c r="H226" s="1017">
        <f>H222</f>
        <v>1020</v>
      </c>
      <c r="I226" s="987"/>
    </row>
    <row r="227" spans="1:9" ht="16.2" thickBot="1" x14ac:dyDescent="0.35">
      <c r="A227" s="439">
        <v>227</v>
      </c>
      <c r="B227" s="420">
        <v>136</v>
      </c>
      <c r="C227" s="428" t="s">
        <v>541</v>
      </c>
      <c r="D227" s="442"/>
      <c r="E227" s="940">
        <f>E173-E222</f>
        <v>-893.03</v>
      </c>
      <c r="F227" s="1004">
        <f>F173-F222</f>
        <v>-1020</v>
      </c>
      <c r="G227" s="940">
        <f>G173-G222</f>
        <v>-893.03</v>
      </c>
      <c r="H227" s="1005">
        <f>H173-H222</f>
        <v>-1020</v>
      </c>
      <c r="I227" s="943" t="s">
        <v>412</v>
      </c>
    </row>
    <row r="228" spans="1:9" outlineLevel="1" x14ac:dyDescent="0.3">
      <c r="A228" s="362">
        <v>228</v>
      </c>
      <c r="B228" s="1108"/>
      <c r="C228" s="1109"/>
      <c r="D228" s="1110"/>
      <c r="E228" s="1111" t="str">
        <f>IF(E227&lt;=0,"Geen Draagkrachteruimte","")</f>
        <v>Geen Draagkrachteruimte</v>
      </c>
      <c r="F228" s="1112"/>
      <c r="G228" s="1111" t="str">
        <f>IF(G227&lt;=0,"Geen Draagkrachteruimte","")</f>
        <v>Geen Draagkrachteruimte</v>
      </c>
      <c r="H228" s="1113"/>
      <c r="I228" s="1019"/>
    </row>
    <row r="229" spans="1:9" ht="57.6" outlineLevel="1" x14ac:dyDescent="0.3">
      <c r="A229" s="364">
        <v>229</v>
      </c>
      <c r="B229" s="183"/>
      <c r="C229" s="202" t="s">
        <v>645</v>
      </c>
      <c r="D229" s="464"/>
      <c r="E229" s="864">
        <f>Basisgegevens!$C$155</f>
        <v>0.6</v>
      </c>
      <c r="F229" s="879">
        <f>Basisgegevens!$E$155</f>
        <v>0.7</v>
      </c>
      <c r="G229" s="864">
        <f>Basisgegevens!$D$155</f>
        <v>0.6</v>
      </c>
      <c r="H229" s="865">
        <f>Basisgegevens!$E$155</f>
        <v>0.7</v>
      </c>
      <c r="I229" s="892" t="s">
        <v>832</v>
      </c>
    </row>
    <row r="230" spans="1:9" outlineLevel="1" x14ac:dyDescent="0.3">
      <c r="A230" s="439">
        <v>230</v>
      </c>
      <c r="B230" s="183"/>
      <c r="C230" s="202"/>
      <c r="D230" s="464"/>
      <c r="E230" s="848"/>
      <c r="F230" s="875"/>
      <c r="G230" s="848"/>
      <c r="H230" s="857"/>
      <c r="I230" s="892"/>
    </row>
    <row r="231" spans="1:9" ht="18" outlineLevel="1" x14ac:dyDescent="0.3">
      <c r="A231" s="362">
        <v>231</v>
      </c>
      <c r="B231" s="183"/>
      <c r="C231" s="279" t="s">
        <v>87</v>
      </c>
      <c r="D231" s="464"/>
      <c r="E231" s="848"/>
      <c r="F231" s="875"/>
      <c r="G231" s="848"/>
      <c r="H231" s="857"/>
      <c r="I231" s="892"/>
    </row>
    <row r="232" spans="1:9" outlineLevel="1" x14ac:dyDescent="0.3">
      <c r="A232" s="364">
        <v>232</v>
      </c>
      <c r="B232" s="425">
        <v>137</v>
      </c>
      <c r="C232" s="232" t="s">
        <v>450</v>
      </c>
      <c r="D232" s="451" t="s">
        <v>113</v>
      </c>
      <c r="E232" s="848">
        <f>E229*E227</f>
        <v>-535.81799999999998</v>
      </c>
      <c r="F232" s="874">
        <f>IF(E173&lt;Basisgegevens!$E$176,Basisgegevens!C161,F229*F227)</f>
        <v>0</v>
      </c>
      <c r="G232" s="848">
        <f>G229*G227</f>
        <v>-535.81799999999998</v>
      </c>
      <c r="H232" s="856">
        <f>IF(H173&lt;Basisgegevens!$E$176,Basisgegevens!D161,H229*H227)</f>
        <v>0</v>
      </c>
      <c r="I232" s="887" t="s">
        <v>833</v>
      </c>
    </row>
    <row r="233" spans="1:9" outlineLevel="1" x14ac:dyDescent="0.3">
      <c r="A233" s="439">
        <v>233</v>
      </c>
      <c r="B233" s="425" t="s">
        <v>828</v>
      </c>
      <c r="C233" s="232" t="s">
        <v>827</v>
      </c>
      <c r="D233" s="451" t="s">
        <v>107</v>
      </c>
      <c r="E233" s="853">
        <v>0</v>
      </c>
      <c r="F233" s="1538">
        <f>E233</f>
        <v>0</v>
      </c>
      <c r="G233" s="853">
        <v>0</v>
      </c>
      <c r="H233" s="1538">
        <f>G233</f>
        <v>0</v>
      </c>
      <c r="I233" s="887"/>
    </row>
    <row r="234" spans="1:9" ht="28.8" outlineLevel="1" x14ac:dyDescent="0.3">
      <c r="A234" s="362">
        <v>234</v>
      </c>
      <c r="B234" s="183">
        <v>138</v>
      </c>
      <c r="C234" s="190" t="s">
        <v>80</v>
      </c>
      <c r="D234" s="451" t="s">
        <v>107</v>
      </c>
      <c r="E234" s="853">
        <v>0</v>
      </c>
      <c r="F234" s="2195" t="s">
        <v>447</v>
      </c>
      <c r="G234" s="853">
        <v>0</v>
      </c>
      <c r="H234" s="2195" t="s">
        <v>447</v>
      </c>
      <c r="I234" s="887" t="s">
        <v>413</v>
      </c>
    </row>
    <row r="235" spans="1:9" ht="29.4" outlineLevel="1" thickBot="1" x14ac:dyDescent="0.35">
      <c r="A235" s="364">
        <v>235</v>
      </c>
      <c r="B235" s="360">
        <v>139</v>
      </c>
      <c r="C235" s="209" t="s">
        <v>655</v>
      </c>
      <c r="D235" s="462" t="s">
        <v>113</v>
      </c>
      <c r="E235" s="1002">
        <v>0</v>
      </c>
      <c r="F235" s="2196"/>
      <c r="G235" s="1002">
        <v>0</v>
      </c>
      <c r="H235" s="2196"/>
      <c r="I235" s="987" t="s">
        <v>656</v>
      </c>
    </row>
    <row r="236" spans="1:9" ht="16.2" thickBot="1" x14ac:dyDescent="0.35">
      <c r="A236" s="439">
        <v>236</v>
      </c>
      <c r="B236" s="420">
        <v>140</v>
      </c>
      <c r="C236" s="427" t="s">
        <v>542</v>
      </c>
      <c r="D236" s="442"/>
      <c r="E236" s="940">
        <f>IF(E232-E233-E234+E235&lt;=0.01,0,E232-E233-E234+E235)</f>
        <v>0</v>
      </c>
      <c r="F236" s="1004">
        <f>IF(F232&lt;=0.01,0,F232-F233)</f>
        <v>0</v>
      </c>
      <c r="G236" s="940">
        <f>IF(G232-G233-G234+G235&lt;=0.01,0,G232-G233-G234+G235)</f>
        <v>0</v>
      </c>
      <c r="H236" s="1004">
        <f>IF(H232&lt;=0.01,0,H232-H233)</f>
        <v>0</v>
      </c>
      <c r="I236" s="1060"/>
    </row>
    <row r="237" spans="1:9" x14ac:dyDescent="0.3">
      <c r="A237" s="362">
        <v>237</v>
      </c>
      <c r="B237" s="205"/>
      <c r="C237" s="192"/>
      <c r="D237" s="457"/>
      <c r="E237" s="936" t="str">
        <f>IF(E236&lt;=0,"Geen KA beschikbaar","")</f>
        <v>Geen KA beschikbaar</v>
      </c>
      <c r="F237" s="1046" t="str">
        <f>IF(F236&lt;=0,"Geen KA beschikbaar","")</f>
        <v>Geen KA beschikbaar</v>
      </c>
      <c r="G237" s="936" t="str">
        <f>IF(G236&lt;=0,"Geen KA beschikbaar","")</f>
        <v>Geen KA beschikbaar</v>
      </c>
      <c r="H237" s="1047" t="str">
        <f>IF(H236&lt;=0,"Geen KA beschikbaar","")</f>
        <v>Geen KA beschikbaar</v>
      </c>
      <c r="I237" s="950"/>
    </row>
    <row r="238" spans="1:9" ht="21" x14ac:dyDescent="0.3">
      <c r="A238" s="364">
        <v>238</v>
      </c>
      <c r="B238" s="836"/>
      <c r="C238" s="824" t="s">
        <v>3</v>
      </c>
      <c r="D238" s="844"/>
      <c r="E238" s="866"/>
      <c r="F238" s="880"/>
      <c r="G238" s="866"/>
      <c r="H238" s="867"/>
      <c r="I238" s="900"/>
    </row>
    <row r="239" spans="1:9" x14ac:dyDescent="0.3">
      <c r="A239" s="439">
        <v>239</v>
      </c>
      <c r="B239" s="424">
        <v>141</v>
      </c>
      <c r="C239" s="832" t="s">
        <v>4</v>
      </c>
      <c r="D239" s="451" t="s">
        <v>107</v>
      </c>
      <c r="E239" s="868">
        <f>IF(Kinderalimentatie!N59&lt;0,0,Kinderalimentatie!N59)</f>
        <v>0</v>
      </c>
      <c r="F239" s="881"/>
      <c r="G239" s="868">
        <f>IF(Kinderalimentatie!R59&lt;0,0,Kinderalimentatie!R59)</f>
        <v>0</v>
      </c>
      <c r="H239" s="869"/>
      <c r="I239" s="901" t="s">
        <v>533</v>
      </c>
    </row>
    <row r="240" spans="1:9" x14ac:dyDescent="0.3">
      <c r="A240" s="362">
        <v>240</v>
      </c>
      <c r="B240" s="424" t="s">
        <v>830</v>
      </c>
      <c r="C240" s="200" t="s">
        <v>130</v>
      </c>
      <c r="D240" s="476"/>
      <c r="E240" s="868">
        <f>IF(Kinderalimentatie!N59&lt;0,Kinderalimentatie!N59+Kinderalimentatie!O59,Kinderalimentatie!O59)</f>
        <v>0</v>
      </c>
      <c r="F240" s="881"/>
      <c r="G240" s="868">
        <f>IF(Kinderalimentatie!R59&lt;0,Kinderalimentatie!R59+Kinderalimentatie!S59,Kinderalimentatie!S59)</f>
        <v>0</v>
      </c>
      <c r="H240" s="869"/>
      <c r="I240" s="892"/>
    </row>
    <row r="241" spans="1:9" ht="15" thickBot="1" x14ac:dyDescent="0.35">
      <c r="A241" s="364">
        <v>241</v>
      </c>
      <c r="B241" s="1114" t="s">
        <v>829</v>
      </c>
      <c r="C241" s="1115" t="s">
        <v>131</v>
      </c>
      <c r="D241" s="462"/>
      <c r="E241" s="1116">
        <f>IF(Kinderalimentatie!N59&lt;0,0,Kinderalimentatie!P59)</f>
        <v>0</v>
      </c>
      <c r="F241" s="1117"/>
      <c r="G241" s="1116">
        <f>IF(Kinderalimentatie!R59&lt;0,0,Kinderalimentatie!T59)</f>
        <v>0</v>
      </c>
      <c r="H241" s="1118"/>
      <c r="I241" s="1026"/>
    </row>
    <row r="242" spans="1:9" ht="16.2" thickBot="1" x14ac:dyDescent="0.35">
      <c r="A242" s="439">
        <v>242</v>
      </c>
      <c r="B242" s="429">
        <v>141</v>
      </c>
      <c r="C242" s="430" t="s">
        <v>615</v>
      </c>
      <c r="D242" s="461"/>
      <c r="E242" s="1100">
        <f>SUM(E239:E241)</f>
        <v>0</v>
      </c>
      <c r="F242" s="941"/>
      <c r="G242" s="1100">
        <f>SUM(G239:G241)</f>
        <v>0</v>
      </c>
      <c r="H242" s="942"/>
      <c r="I242" s="994"/>
    </row>
    <row r="243" spans="1:9" outlineLevel="1" x14ac:dyDescent="0.3">
      <c r="A243" s="362">
        <v>243</v>
      </c>
      <c r="B243" s="425" t="s">
        <v>831</v>
      </c>
      <c r="C243" s="1502" t="s">
        <v>827</v>
      </c>
      <c r="D243" s="451"/>
      <c r="E243" s="853">
        <v>0</v>
      </c>
      <c r="F243" s="1500"/>
      <c r="G243" s="853">
        <v>0</v>
      </c>
      <c r="H243" s="1501"/>
      <c r="I243" s="887"/>
    </row>
    <row r="244" spans="1:9" x14ac:dyDescent="0.3">
      <c r="A244" s="364">
        <v>244</v>
      </c>
      <c r="B244" s="1108"/>
      <c r="C244" s="1109"/>
      <c r="D244" s="455"/>
      <c r="E244" s="1119"/>
      <c r="F244" s="1112"/>
      <c r="G244" s="1119"/>
      <c r="H244" s="1113"/>
      <c r="I244" s="1019"/>
    </row>
    <row r="245" spans="1:9" ht="15" thickBot="1" x14ac:dyDescent="0.35">
      <c r="A245" s="439">
        <v>245</v>
      </c>
      <c r="B245" s="992">
        <v>142</v>
      </c>
      <c r="C245" s="1520" t="s">
        <v>81</v>
      </c>
      <c r="D245" s="1120"/>
      <c r="E245" s="1531">
        <v>0</v>
      </c>
      <c r="F245" s="1532">
        <v>0</v>
      </c>
      <c r="G245" s="1524">
        <v>0</v>
      </c>
      <c r="H245" s="1533">
        <v>0</v>
      </c>
      <c r="I245" s="1534" t="s">
        <v>381</v>
      </c>
    </row>
    <row r="246" spans="1:9" ht="16.2" thickBot="1" x14ac:dyDescent="0.35">
      <c r="A246" s="362">
        <v>246</v>
      </c>
      <c r="B246" s="420">
        <v>143</v>
      </c>
      <c r="C246" s="427" t="s">
        <v>747</v>
      </c>
      <c r="D246" s="442"/>
      <c r="E246" s="940">
        <f>E236-E242-E243</f>
        <v>0</v>
      </c>
      <c r="F246" s="1122"/>
      <c r="G246" s="940">
        <f>G236-G242-G243</f>
        <v>0</v>
      </c>
      <c r="H246" s="1123"/>
      <c r="I246" s="994" t="s">
        <v>414</v>
      </c>
    </row>
    <row r="247" spans="1:9" ht="16.2" thickBot="1" x14ac:dyDescent="0.35">
      <c r="A247" s="364">
        <v>247</v>
      </c>
      <c r="B247" s="375"/>
      <c r="C247" s="1121"/>
      <c r="D247" s="472"/>
      <c r="E247" s="1287" t="str">
        <f>IF(E246&lt;=0,"Geen PA beschikbaar","--")</f>
        <v>Geen PA beschikbaar</v>
      </c>
      <c r="F247" s="937"/>
      <c r="G247" s="1287" t="str">
        <f>IF(G246&lt;=0,"Geen PA beschikbaar","")</f>
        <v>Geen PA beschikbaar</v>
      </c>
      <c r="H247" s="1282"/>
      <c r="I247" s="939"/>
    </row>
    <row r="248" spans="1:9" ht="16.2" thickBot="1" x14ac:dyDescent="0.35">
      <c r="A248" s="439">
        <v>248</v>
      </c>
      <c r="B248" s="662"/>
      <c r="C248" s="687"/>
      <c r="D248" s="974"/>
      <c r="E248" s="975"/>
      <c r="F248" s="1124"/>
      <c r="G248" s="1069"/>
      <c r="H248" s="1125"/>
      <c r="I248" s="1126"/>
    </row>
    <row r="249" spans="1:9" ht="18.600000000000001" thickBot="1" x14ac:dyDescent="0.35">
      <c r="A249" s="362">
        <v>249</v>
      </c>
      <c r="B249" s="352"/>
      <c r="C249" s="688" t="s">
        <v>614</v>
      </c>
      <c r="D249" s="459"/>
      <c r="E249" s="911"/>
      <c r="F249" s="980"/>
      <c r="G249" s="1127"/>
      <c r="H249" s="981"/>
      <c r="I249" s="1128"/>
    </row>
    <row r="250" spans="1:9" ht="15.6" x14ac:dyDescent="0.3">
      <c r="A250" s="364">
        <v>250</v>
      </c>
      <c r="B250" s="416"/>
      <c r="C250" s="1131" t="str">
        <f>C104</f>
        <v>Belastbaar inkomen uit werk en woning (saldo van a t/m h) (Box I):</v>
      </c>
      <c r="D250" s="944"/>
      <c r="E250" s="933">
        <f>E104</f>
        <v>0</v>
      </c>
      <c r="F250" s="1132"/>
      <c r="G250" s="933">
        <f>G104</f>
        <v>0</v>
      </c>
      <c r="H250" s="1133"/>
      <c r="I250" s="948"/>
    </row>
    <row r="251" spans="1:9" ht="16.2" thickBot="1" x14ac:dyDescent="0.35">
      <c r="A251" s="439">
        <v>251</v>
      </c>
      <c r="B251" s="662"/>
      <c r="C251" s="1138" t="str">
        <f>C109</f>
        <v>Inkomensheffing Box 1:</v>
      </c>
      <c r="D251" s="974"/>
      <c r="E251" s="989">
        <f>E109</f>
        <v>0</v>
      </c>
      <c r="F251" s="1145"/>
      <c r="G251" s="989">
        <f>G105</f>
        <v>0</v>
      </c>
      <c r="H251" s="1146"/>
      <c r="I251" s="1126"/>
    </row>
    <row r="252" spans="1:9" ht="16.2" thickBot="1" x14ac:dyDescent="0.35">
      <c r="A252" s="362">
        <v>252</v>
      </c>
      <c r="B252" s="420"/>
      <c r="C252" s="427" t="s">
        <v>612</v>
      </c>
      <c r="D252" s="442"/>
      <c r="E252" s="1004">
        <f>E250-E251</f>
        <v>0</v>
      </c>
      <c r="F252" s="1361"/>
      <c r="G252" s="940">
        <f>G250-G251</f>
        <v>0</v>
      </c>
      <c r="H252" s="1149"/>
      <c r="I252" s="994"/>
    </row>
    <row r="253" spans="1:9" ht="31.2" x14ac:dyDescent="0.3">
      <c r="A253" s="364">
        <v>253</v>
      </c>
      <c r="B253" s="205"/>
      <c r="C253" s="1150" t="str">
        <f>CONCATENATE("Is het belastbaar inkomen minus de inkomensheffing (a € ",ROUND(E252,0),") lager is dan de in 143 (a € ",ROUND((E246),0),") berekende alimentatie?")</f>
        <v>Is het belastbaar inkomen minus de inkomensheffing (a € 0) lager is dan de in 143 (a € 0) berekende alimentatie?</v>
      </c>
      <c r="D253" s="457"/>
      <c r="E253" s="1147" t="str">
        <f>IF(E246&lt;=0,"n.v.t",IF(E252&gt;E246,"Nee, nu via 144","Ja, nu via 145/146"))</f>
        <v>n.v.t</v>
      </c>
      <c r="F253" s="884"/>
      <c r="G253" s="1148"/>
      <c r="H253" s="1148"/>
      <c r="I253" s="1130"/>
    </row>
    <row r="254" spans="1:9" x14ac:dyDescent="0.3">
      <c r="A254" s="439">
        <v>254</v>
      </c>
      <c r="B254" s="183">
        <v>144</v>
      </c>
      <c r="C254" s="691" t="s">
        <v>746</v>
      </c>
      <c r="D254" s="464" t="s">
        <v>109</v>
      </c>
      <c r="E254" s="848">
        <f>IF(LEFT(E253,2)="Ja","n.v.t",Basisgegevens!F287/12)</f>
        <v>0</v>
      </c>
      <c r="F254" s="878"/>
      <c r="G254" s="863"/>
      <c r="H254" s="863"/>
      <c r="I254" s="902"/>
    </row>
    <row r="255" spans="1:9" x14ac:dyDescent="0.3">
      <c r="A255" s="362">
        <v>255</v>
      </c>
      <c r="B255" s="183"/>
      <c r="C255" s="691" t="s">
        <v>748</v>
      </c>
      <c r="D255" s="845" t="s">
        <v>109</v>
      </c>
      <c r="E255" s="1283">
        <f>IF(LEFT(E253,2)="Ja","n.v.t",Basisgegevens!F287)</f>
        <v>0</v>
      </c>
      <c r="F255" s="882"/>
      <c r="G255" s="904"/>
      <c r="H255" s="904"/>
      <c r="I255" s="902"/>
    </row>
    <row r="256" spans="1:9" ht="15" thickBot="1" x14ac:dyDescent="0.35">
      <c r="A256" s="364">
        <v>256</v>
      </c>
      <c r="B256" s="184"/>
      <c r="C256" s="1134"/>
      <c r="D256" s="1135"/>
      <c r="E256" s="870"/>
      <c r="F256" s="883"/>
      <c r="G256" s="909"/>
      <c r="H256" s="909"/>
      <c r="I256" s="1136"/>
    </row>
    <row r="283" spans="1:1" x14ac:dyDescent="0.3">
      <c r="A283" s="686"/>
    </row>
    <row r="284" spans="1:1" x14ac:dyDescent="0.3">
      <c r="A284" s="686"/>
    </row>
    <row r="285" spans="1:1" x14ac:dyDescent="0.3">
      <c r="A285" s="686"/>
    </row>
    <row r="286" spans="1:1" x14ac:dyDescent="0.3">
      <c r="A286" s="686"/>
    </row>
    <row r="287" spans="1:1" x14ac:dyDescent="0.3">
      <c r="A287" s="686"/>
    </row>
    <row r="288" spans="1:1" x14ac:dyDescent="0.3">
      <c r="A288" s="686"/>
    </row>
    <row r="289" spans="1:1" x14ac:dyDescent="0.3">
      <c r="A289" s="686"/>
    </row>
    <row r="290" spans="1:1" x14ac:dyDescent="0.3">
      <c r="A290" s="686"/>
    </row>
    <row r="291" spans="1:1" x14ac:dyDescent="0.3">
      <c r="A291" s="686"/>
    </row>
    <row r="292" spans="1:1" x14ac:dyDescent="0.3">
      <c r="A292" s="686"/>
    </row>
    <row r="293" spans="1:1" x14ac:dyDescent="0.3">
      <c r="A293" s="686"/>
    </row>
    <row r="294" spans="1:1" x14ac:dyDescent="0.3">
      <c r="A294" s="686"/>
    </row>
    <row r="601" spans="1:9" ht="15" thickBot="1" x14ac:dyDescent="0.35"/>
    <row r="602" spans="1:9" ht="26.4" thickBot="1" x14ac:dyDescent="0.35">
      <c r="A602" s="364">
        <v>255</v>
      </c>
      <c r="B602" s="2197" t="s">
        <v>754</v>
      </c>
      <c r="C602" s="1992"/>
      <c r="D602" s="1992"/>
      <c r="E602" s="1992"/>
      <c r="F602" s="1992"/>
      <c r="G602" s="1992"/>
      <c r="H602" s="1992"/>
      <c r="I602" s="2086"/>
    </row>
    <row r="603" spans="1:9" x14ac:dyDescent="0.3">
      <c r="A603" s="1317">
        <v>256</v>
      </c>
      <c r="B603" s="205"/>
      <c r="C603" s="1137"/>
      <c r="D603" s="1129"/>
      <c r="E603" s="846"/>
      <c r="F603" s="884"/>
      <c r="G603" s="907"/>
      <c r="H603" s="908"/>
      <c r="I603" s="1130"/>
    </row>
    <row r="604" spans="1:9" x14ac:dyDescent="0.3">
      <c r="A604" s="364">
        <v>257</v>
      </c>
      <c r="B604" s="183">
        <v>145</v>
      </c>
      <c r="C604" s="690" t="s">
        <v>609</v>
      </c>
      <c r="D604" s="181"/>
      <c r="E604" s="251"/>
      <c r="F604" s="842"/>
      <c r="G604" s="851"/>
      <c r="H604" s="854"/>
      <c r="I604" s="887"/>
    </row>
    <row r="605" spans="1:9" x14ac:dyDescent="0.3">
      <c r="A605" s="364">
        <v>258</v>
      </c>
      <c r="B605" s="183"/>
      <c r="C605" s="680" t="s">
        <v>610</v>
      </c>
      <c r="D605" s="676" t="s">
        <v>113</v>
      </c>
      <c r="E605" s="218">
        <f>IF(E246&lt;=0,0,E246)</f>
        <v>0</v>
      </c>
      <c r="F605" s="842"/>
      <c r="G605" s="851"/>
      <c r="H605" s="854"/>
      <c r="I605" s="887"/>
    </row>
    <row r="606" spans="1:9" ht="16.2" thickBot="1" x14ac:dyDescent="0.35">
      <c r="A606" s="1317">
        <v>259</v>
      </c>
      <c r="B606" s="360"/>
      <c r="C606" s="1138" t="str">
        <f>C109</f>
        <v>Inkomensheffing Box 1:</v>
      </c>
      <c r="D606" s="1139" t="s">
        <v>113</v>
      </c>
      <c r="E606" s="733">
        <f>E251</f>
        <v>0</v>
      </c>
      <c r="F606" s="1140"/>
      <c r="G606" s="986"/>
      <c r="H606" s="1141"/>
      <c r="I606" s="987"/>
    </row>
    <row r="607" spans="1:9" ht="16.2" thickBot="1" x14ac:dyDescent="0.35">
      <c r="A607" s="364">
        <v>260</v>
      </c>
      <c r="B607" s="420"/>
      <c r="C607" s="427" t="s">
        <v>611</v>
      </c>
      <c r="D607" s="1143" t="s">
        <v>113</v>
      </c>
      <c r="E607" s="1144"/>
      <c r="F607" s="1004">
        <f>SUM(E605:E606)</f>
        <v>0</v>
      </c>
      <c r="G607" s="940"/>
      <c r="H607" s="1005"/>
      <c r="I607" s="1060"/>
    </row>
    <row r="608" spans="1:9" x14ac:dyDescent="0.3">
      <c r="A608" s="364">
        <v>261</v>
      </c>
      <c r="B608" s="205"/>
      <c r="C608" s="1142"/>
      <c r="D608" s="694"/>
      <c r="E608" s="695"/>
      <c r="F608" s="999"/>
      <c r="G608" s="956"/>
      <c r="H608" s="1000"/>
      <c r="I608" s="950"/>
    </row>
    <row r="609" spans="1:9" x14ac:dyDescent="0.3">
      <c r="A609" s="1317">
        <v>262</v>
      </c>
      <c r="B609" s="183"/>
      <c r="C609" s="199"/>
      <c r="D609" s="181"/>
      <c r="E609" s="251"/>
      <c r="F609" s="842"/>
      <c r="G609" s="851"/>
      <c r="H609" s="854"/>
      <c r="I609" s="887"/>
    </row>
    <row r="610" spans="1:9" x14ac:dyDescent="0.3">
      <c r="A610" s="364">
        <v>263</v>
      </c>
      <c r="B610" s="183"/>
      <c r="C610" s="689" t="str">
        <f>C605</f>
        <v>Netto alimentatie per jaar:</v>
      </c>
      <c r="D610" s="682" t="s">
        <v>113</v>
      </c>
      <c r="E610" s="251"/>
      <c r="F610" s="885">
        <f>E605</f>
        <v>0</v>
      </c>
      <c r="G610" s="851"/>
      <c r="H610" s="854"/>
      <c r="I610" s="887"/>
    </row>
    <row r="611" spans="1:9" x14ac:dyDescent="0.3">
      <c r="A611" s="364">
        <v>264</v>
      </c>
      <c r="B611" s="183"/>
      <c r="C611" s="689" t="str">
        <f>C250</f>
        <v>Belastbaar inkomen uit werk en woning (saldo van a t/m h) (Box I):</v>
      </c>
      <c r="D611" s="181"/>
      <c r="E611" s="218">
        <f>E250</f>
        <v>0</v>
      </c>
      <c r="F611" s="842"/>
      <c r="G611" s="851"/>
      <c r="H611" s="854"/>
      <c r="I611" s="887"/>
    </row>
    <row r="612" spans="1:9" x14ac:dyDescent="0.3">
      <c r="A612" s="1317">
        <v>265</v>
      </c>
      <c r="B612" s="183"/>
      <c r="C612" s="689" t="str">
        <f>C251</f>
        <v>Inkomensheffing Box 1:</v>
      </c>
      <c r="D612" s="676" t="s">
        <v>107</v>
      </c>
      <c r="E612" s="218">
        <f>E251</f>
        <v>0</v>
      </c>
      <c r="F612" s="842"/>
      <c r="G612" s="851"/>
      <c r="H612" s="854"/>
      <c r="I612" s="887"/>
    </row>
    <row r="613" spans="1:9" ht="15.6" x14ac:dyDescent="0.3">
      <c r="A613" s="364">
        <v>266</v>
      </c>
      <c r="B613" s="834"/>
      <c r="C613" s="685" t="str">
        <f>C252</f>
        <v xml:space="preserve">Na aftrek inkomensheffing BOX I: </v>
      </c>
      <c r="D613" s="683"/>
      <c r="E613" s="684"/>
      <c r="F613" s="873">
        <f>E252</f>
        <v>0</v>
      </c>
      <c r="G613" s="849"/>
      <c r="H613" s="855"/>
      <c r="I613" s="894"/>
    </row>
    <row r="614" spans="1:9" x14ac:dyDescent="0.3">
      <c r="A614" s="364">
        <v>267</v>
      </c>
      <c r="B614" s="183"/>
      <c r="C614" s="680"/>
      <c r="D614" s="181"/>
      <c r="E614" s="736" t="s">
        <v>613</v>
      </c>
      <c r="F614" s="874">
        <f>F610-F613</f>
        <v>0</v>
      </c>
      <c r="G614" s="851"/>
      <c r="H614" s="854"/>
      <c r="I614" s="887"/>
    </row>
    <row r="615" spans="1:9" x14ac:dyDescent="0.3">
      <c r="A615" s="1317">
        <v>268</v>
      </c>
      <c r="B615" s="183"/>
      <c r="C615" s="2218" t="str">
        <f>CONCATENATE("Verschil delen door ",(1-Basisgegevens!$C$146)," (= tarief BOX III)")</f>
        <v>Verschil delen door 0,7 (= tarief BOX III)</v>
      </c>
      <c r="D615" s="1933"/>
      <c r="E615" s="1933"/>
      <c r="F615" s="874">
        <f>F614/(1-Basisgegevens!$C$146)</f>
        <v>0</v>
      </c>
      <c r="G615" s="851"/>
      <c r="H615" s="854"/>
      <c r="I615" s="887"/>
    </row>
    <row r="616" spans="1:9" x14ac:dyDescent="0.3">
      <c r="A616" s="364">
        <v>269</v>
      </c>
      <c r="B616" s="834"/>
      <c r="C616" s="2219" t="str">
        <f>CONCATENATE("Als het VERSCHIL  a € ",ROUND(F615,0)," LAGER is dan het belastbaar inkomen box III a € ",ROUND(E141,0)," dan ",(Basisgegevens!C146*100),"% van dit bedrag:")</f>
        <v>Als het VERSCHIL  a € 0 LAGER is dan het belastbaar inkomen box III a € 0 dan 30% van dit bedrag:</v>
      </c>
      <c r="D616" s="2220"/>
      <c r="E616" s="2220"/>
      <c r="F616" s="873" t="str">
        <f>IF(F615&lt;E141,F615*Basisgegevens!$C$146,"zie 146")</f>
        <v>zie 146</v>
      </c>
      <c r="G616" s="851"/>
      <c r="H616" s="854"/>
      <c r="I616" s="887"/>
    </row>
    <row r="617" spans="1:9" x14ac:dyDescent="0.3">
      <c r="A617" s="364">
        <v>270</v>
      </c>
      <c r="B617" s="183"/>
      <c r="C617" s="190"/>
      <c r="D617" s="181"/>
      <c r="E617" s="251"/>
      <c r="F617" s="842"/>
      <c r="G617" s="851"/>
      <c r="H617" s="854"/>
      <c r="I617" s="887"/>
    </row>
    <row r="618" spans="1:9" ht="16.2" x14ac:dyDescent="0.3">
      <c r="A618" s="1317">
        <v>271</v>
      </c>
      <c r="B618" s="183"/>
      <c r="C618" s="2221" t="str">
        <f>CONCATENATE("Als het VERSCHIL hierboven HOGER is dan het belastbaar inkomen box III a € ",ROUND(E141,0)," dan ",(Basisgegevens!C146*100),"% van dit bedrag:")</f>
        <v>Als het VERSCHIL hierboven HOGER is dan het belastbaar inkomen box III a € 0 dan 30% van dit bedrag:</v>
      </c>
      <c r="D618" s="2222"/>
      <c r="E618" s="2222"/>
      <c r="F618" s="842"/>
      <c r="G618" s="851"/>
      <c r="H618" s="854"/>
      <c r="I618" s="887"/>
    </row>
    <row r="619" spans="1:9" x14ac:dyDescent="0.3">
      <c r="A619" s="364">
        <v>272</v>
      </c>
      <c r="B619" s="183">
        <v>146</v>
      </c>
      <c r="C619" s="689" t="str">
        <f>C142</f>
        <v>Inkomstebelasting (vast tarief 30%) box III:</v>
      </c>
      <c r="D619" s="676" t="s">
        <v>107</v>
      </c>
      <c r="E619" s="251"/>
      <c r="F619" s="874">
        <f>E142</f>
        <v>0</v>
      </c>
      <c r="G619" s="851"/>
      <c r="H619" s="854"/>
      <c r="I619" s="887"/>
    </row>
    <row r="620" spans="1:9" x14ac:dyDescent="0.3">
      <c r="A620" s="364">
        <v>273</v>
      </c>
      <c r="B620" s="183"/>
      <c r="C620" s="680" t="s">
        <v>616</v>
      </c>
      <c r="D620" s="181"/>
      <c r="E620" s="218">
        <f>F614</f>
        <v>0</v>
      </c>
      <c r="F620" s="842"/>
      <c r="G620" s="851"/>
      <c r="H620" s="854"/>
      <c r="I620" s="887"/>
    </row>
    <row r="621" spans="1:9" x14ac:dyDescent="0.3">
      <c r="A621" s="1317">
        <v>274</v>
      </c>
      <c r="B621" s="183"/>
      <c r="C621" s="689" t="str">
        <f>C141</f>
        <v>Belastbaar inkomen uit sparen en beleggen (Box III):</v>
      </c>
      <c r="D621" s="181"/>
      <c r="E621" s="218">
        <f>E141</f>
        <v>0</v>
      </c>
      <c r="F621" s="842"/>
      <c r="G621" s="851"/>
      <c r="H621" s="854"/>
      <c r="I621" s="887"/>
    </row>
    <row r="622" spans="1:9" x14ac:dyDescent="0.3">
      <c r="A622" s="364">
        <v>275</v>
      </c>
      <c r="B622" s="183"/>
      <c r="C622" s="693" t="str">
        <f>C142</f>
        <v>Inkomstebelasting (vast tarief 30%) box III:</v>
      </c>
      <c r="D622" s="181"/>
      <c r="E622" s="218">
        <f>E142</f>
        <v>0</v>
      </c>
      <c r="F622" s="842"/>
      <c r="G622" s="851"/>
      <c r="H622" s="854"/>
      <c r="I622" s="887"/>
    </row>
    <row r="623" spans="1:9" ht="15.6" x14ac:dyDescent="0.3">
      <c r="A623" s="364">
        <v>276</v>
      </c>
      <c r="B623" s="834"/>
      <c r="C623" s="685" t="s">
        <v>617</v>
      </c>
      <c r="D623" s="683"/>
      <c r="E623" s="684"/>
      <c r="F623" s="873">
        <f>E621-E622</f>
        <v>0</v>
      </c>
      <c r="G623" s="851"/>
      <c r="H623" s="854"/>
      <c r="I623" s="887"/>
    </row>
    <row r="624" spans="1:9" x14ac:dyDescent="0.3">
      <c r="A624" s="1317">
        <v>277</v>
      </c>
      <c r="B624" s="183"/>
      <c r="C624" s="190"/>
      <c r="D624" s="181"/>
      <c r="E624" s="251"/>
      <c r="F624" s="842"/>
      <c r="G624" s="851"/>
      <c r="H624" s="854"/>
      <c r="I624" s="887"/>
    </row>
    <row r="625" spans="1:9" x14ac:dyDescent="0.3">
      <c r="A625" s="364">
        <v>278</v>
      </c>
      <c r="B625" s="183"/>
      <c r="C625" s="680"/>
      <c r="D625" s="181"/>
      <c r="E625" s="251"/>
      <c r="F625" s="842"/>
      <c r="G625" s="851"/>
      <c r="H625" s="854"/>
      <c r="I625" s="887"/>
    </row>
    <row r="626" spans="1:9" ht="15" thickBot="1" x14ac:dyDescent="0.35">
      <c r="A626" s="364">
        <v>279</v>
      </c>
      <c r="B626" s="184"/>
      <c r="C626" s="837"/>
      <c r="D626" s="838"/>
      <c r="E626" s="839"/>
      <c r="F626" s="886"/>
      <c r="G626" s="905"/>
      <c r="H626" s="906"/>
      <c r="I626" s="903"/>
    </row>
    <row r="627" spans="1:9" x14ac:dyDescent="0.3">
      <c r="A627" s="686"/>
    </row>
  </sheetData>
  <sheetProtection algorithmName="SHA-512" hashValue="LyH4e+9nD4E8Uy94YTL5AXMek6+jF2H4o2jdb8RfBJ8MlqOysTaHxbZk9M6sJ1DnlWDpjMsZ6kY7pq7Q3uWbYQ==" saltValue="nMSzUy2A5SpYcO4F7ACirw==" spinCount="100000" sheet="1" objects="1" scenarios="1"/>
  <protectedRanges>
    <protectedRange sqref="G243" name="AG 141c Onderhoud"/>
    <protectedRange sqref="G233:G235" name="AG 137 139 Onderhoud"/>
    <protectedRange sqref="G216:G221" name="AG 128 134 Kosten en schulden"/>
    <protectedRange sqref="G212:G213" name="AG 125 126 Premies"/>
    <protectedRange sqref="G207" name="AG 124 Medische kosten"/>
    <protectedRange sqref="G204" name="AG 124 ZKV eigen risico"/>
    <protectedRange sqref="G189:G190" name="AG 123 Aftrek woonlast"/>
    <protectedRange sqref="G164:G166" name="AG 119b Netto uitgaven"/>
    <protectedRange sqref="G162" name="AG 119a Heffingskorting"/>
    <protectedRange sqref="G158:G159" name="AG 118 119a Bonnen Netto inkomsten"/>
    <protectedRange sqref="G154" name="AG 115 Andere kortingen"/>
    <protectedRange sqref="G140" name="AG 110 Pers Geb aftrek"/>
    <protectedRange sqref="G137" name="AG 107 Toeslagen"/>
    <protectedRange sqref="G128:G131" name="AG 104 Rendement"/>
    <protectedRange sqref="G121:G124" name="AG 102 Inkomsten"/>
    <protectedRange sqref="G115" name="AG 99 Pers Geb aftrek"/>
    <protectedRange sqref="G112" name="AG 96 Voordelen"/>
    <protectedRange sqref="G90:G91" name="AG 91 92 Uitgaven"/>
    <protectedRange sqref="G88" name="AG 90 Kinderopvang"/>
    <protectedRange sqref="G83:G84" name="AG 86 87 Premies"/>
    <protectedRange sqref="G72" name="AG 79 Uitkeringen"/>
    <protectedRange sqref="G68:G69" name="AG 76 77 Overig Werk"/>
    <protectedRange sqref="G64" name="AG 74 Stakingsaftrek"/>
    <protectedRange sqref="G56" name="AG 69 Oudedag"/>
    <protectedRange sqref="G53:G54" name="AG 66 67 Aftrek"/>
    <protectedRange sqref="G50:G51" name="AG 65 Winst"/>
    <protectedRange sqref="G45" name="AG 62 Reisaftrek"/>
    <protectedRange sqref="E45" name="AP 62 Reisaftrek"/>
    <protectedRange sqref="E50:E51" name="AP 65 Winst"/>
    <protectedRange sqref="E53:E54" name="AP 66 67 Aftrek"/>
    <protectedRange sqref="E56" name="AP 69 Oudedag"/>
    <protectedRange sqref="E64" name="AP 74 Stakingsaftrek"/>
    <protectedRange sqref="E68:E69" name="AP 76 77 Overig Werk"/>
    <protectedRange sqref="E72" name="AP 79 Uitkeringen"/>
    <protectedRange sqref="E83:E84" name="AP 86 87 Premies"/>
    <protectedRange sqref="E88" name="AP 90 Kinderopvang"/>
    <protectedRange sqref="E90:E91" name="AP 91 92 Uitgaven"/>
    <protectedRange sqref="E112" name="AP 96 Voordelen"/>
    <protectedRange sqref="E115" name="AP 99 Pers Geb aftrek"/>
    <protectedRange sqref="E121:E124" name="AP 102 Inkomsten"/>
    <protectedRange sqref="E128:E131" name="AP 104 Rendement"/>
    <protectedRange sqref="E137" name="AP 107 Toeslagen"/>
    <protectedRange sqref="E140" name="AP 110 Pers Geb aftrek"/>
    <protectedRange sqref="E154" name="AP 115 Andere kortingen"/>
    <protectedRange sqref="E158:E159" name="AP 118 119a Bonnen Netto inkomsten"/>
    <protectedRange sqref="E162" name="AP 119a Heffingskorting"/>
    <protectedRange sqref="E164:E166" name="AP 119b Netto uitgaven"/>
    <protectedRange sqref="E189:E190" name="AP 123 Aftrek woonlast"/>
    <protectedRange sqref="E204" name="AP 124 ZKV eigen risico"/>
    <protectedRange sqref="E207" name="AP 124 Medische kosten"/>
    <protectedRange sqref="E212:E213" name="AP 125 126 Premies"/>
    <protectedRange sqref="E215:E221" name="AP 128 134 Kosten en schulden"/>
    <protectedRange sqref="E233:E235" name="AP 137 139 Onderhoud"/>
    <protectedRange sqref="E243" name="AP 141c Onderhoud"/>
  </protectedRanges>
  <autoFilter ref="B3:I281" xr:uid="{00000000-0009-0000-0000-000001000000}"/>
  <mergeCells count="42">
    <mergeCell ref="C615:E615"/>
    <mergeCell ref="C616:E616"/>
    <mergeCell ref="C618:E618"/>
    <mergeCell ref="F50:F56"/>
    <mergeCell ref="H50:H56"/>
    <mergeCell ref="F68:F69"/>
    <mergeCell ref="H68:H69"/>
    <mergeCell ref="F72:F73"/>
    <mergeCell ref="H72:H73"/>
    <mergeCell ref="F60:F65"/>
    <mergeCell ref="H60:H65"/>
    <mergeCell ref="F77:F79"/>
    <mergeCell ref="H77:H79"/>
    <mergeCell ref="H83:H85"/>
    <mergeCell ref="F83:F85"/>
    <mergeCell ref="H90:H91"/>
    <mergeCell ref="F7:F16"/>
    <mergeCell ref="H7:H16"/>
    <mergeCell ref="F20:F22"/>
    <mergeCell ref="H20:H22"/>
    <mergeCell ref="H26:H28"/>
    <mergeCell ref="F26:F28"/>
    <mergeCell ref="F32:F33"/>
    <mergeCell ref="H32:H33"/>
    <mergeCell ref="H36:H37"/>
    <mergeCell ref="F36:F37"/>
    <mergeCell ref="F44:F46"/>
    <mergeCell ref="H44:H46"/>
    <mergeCell ref="F194:F197"/>
    <mergeCell ref="H194:H197"/>
    <mergeCell ref="F90:F91"/>
    <mergeCell ref="F201:F209"/>
    <mergeCell ref="H201:H209"/>
    <mergeCell ref="F182:F190"/>
    <mergeCell ref="H182:H190"/>
    <mergeCell ref="E198:F198"/>
    <mergeCell ref="G198:H198"/>
    <mergeCell ref="F211:F221"/>
    <mergeCell ref="H211:H221"/>
    <mergeCell ref="F234:F235"/>
    <mergeCell ref="H234:H235"/>
    <mergeCell ref="B602:I602"/>
  </mergeCells>
  <conditionalFormatting sqref="D104:D118 D98 D62:D81 D120:D130 D253:D254 D83:D94 D132:D175 D200:D224 D177:D198 D7:D60 D227:D246">
    <cfRule type="cellIs" dxfId="63" priority="30" operator="equal">
      <formula>"-"</formula>
    </cfRule>
    <cfRule type="cellIs" dxfId="62" priority="31" operator="equal">
      <formula>"+"</formula>
    </cfRule>
  </conditionalFormatting>
  <conditionalFormatting sqref="D176">
    <cfRule type="cellIs" dxfId="61" priority="28" operator="equal">
      <formula>"-"</formula>
    </cfRule>
    <cfRule type="cellIs" dxfId="60" priority="29" operator="equal">
      <formula>"+"</formula>
    </cfRule>
  </conditionalFormatting>
  <conditionalFormatting sqref="E227:G227">
    <cfRule type="cellIs" dxfId="59" priority="27" operator="lessThan">
      <formula>0</formula>
    </cfRule>
  </conditionalFormatting>
  <conditionalFormatting sqref="D225:D226">
    <cfRule type="cellIs" dxfId="58" priority="25" operator="equal">
      <formula>"-"</formula>
    </cfRule>
    <cfRule type="cellIs" dxfId="57" priority="26" operator="equal">
      <formula>"+"</formula>
    </cfRule>
  </conditionalFormatting>
  <conditionalFormatting sqref="D82">
    <cfRule type="cellIs" dxfId="56" priority="23" operator="equal">
      <formula>"-"</formula>
    </cfRule>
    <cfRule type="cellIs" dxfId="55" priority="24" operator="equal">
      <formula>"+"</formula>
    </cfRule>
  </conditionalFormatting>
  <conditionalFormatting sqref="H227">
    <cfRule type="cellIs" dxfId="54" priority="22" operator="lessThan">
      <formula>0</formula>
    </cfRule>
  </conditionalFormatting>
  <conditionalFormatting sqref="E236:H236">
    <cfRule type="cellIs" dxfId="53" priority="21" operator="lessThanOrEqual">
      <formula>0</formula>
    </cfRule>
  </conditionalFormatting>
  <conditionalFormatting sqref="E246 G246">
    <cfRule type="cellIs" dxfId="52" priority="20" operator="lessThanOrEqual">
      <formula>0</formula>
    </cfRule>
  </conditionalFormatting>
  <conditionalFormatting sqref="E156:H156">
    <cfRule type="cellIs" dxfId="51" priority="19" operator="lessThanOrEqual">
      <formula>0</formula>
    </cfRule>
  </conditionalFormatting>
  <conditionalFormatting sqref="E237:H237">
    <cfRule type="expression" dxfId="50" priority="16">
      <formula>E$236&lt;=0</formula>
    </cfRule>
  </conditionalFormatting>
  <conditionalFormatting sqref="E232:H232">
    <cfRule type="cellIs" dxfId="49" priority="14" operator="lessThanOrEqual">
      <formula>0</formula>
    </cfRule>
  </conditionalFormatting>
  <conditionalFormatting sqref="D61">
    <cfRule type="cellIs" dxfId="48" priority="12" operator="equal">
      <formula>"-"</formula>
    </cfRule>
    <cfRule type="cellIs" dxfId="47" priority="13" operator="equal">
      <formula>"+"</formula>
    </cfRule>
  </conditionalFormatting>
  <conditionalFormatting sqref="D131">
    <cfRule type="cellIs" dxfId="46" priority="10" operator="equal">
      <formula>"-"</formula>
    </cfRule>
    <cfRule type="cellIs" dxfId="45" priority="11" operator="equal">
      <formula>"+"</formula>
    </cfRule>
  </conditionalFormatting>
  <conditionalFormatting sqref="G247">
    <cfRule type="expression" dxfId="44" priority="9">
      <formula>G$24&lt;=0</formula>
    </cfRule>
  </conditionalFormatting>
  <conditionalFormatting sqref="D612">
    <cfRule type="cellIs" dxfId="43" priority="7" operator="equal">
      <formula>"-"</formula>
    </cfRule>
    <cfRule type="cellIs" dxfId="42" priority="8" operator="equal">
      <formula>"+"</formula>
    </cfRule>
  </conditionalFormatting>
  <conditionalFormatting sqref="D619">
    <cfRule type="cellIs" dxfId="41" priority="5" operator="equal">
      <formula>"-"</formula>
    </cfRule>
    <cfRule type="cellIs" dxfId="40" priority="6" operator="equal">
      <formula>"+"</formula>
    </cfRule>
  </conditionalFormatting>
  <conditionalFormatting sqref="E247">
    <cfRule type="expression" dxfId="39" priority="3">
      <formula>E$246&lt;=0</formula>
    </cfRule>
  </conditionalFormatting>
  <conditionalFormatting sqref="D243">
    <cfRule type="cellIs" dxfId="38" priority="1" operator="equal">
      <formula>"-"</formula>
    </cfRule>
    <cfRule type="cellIs" dxfId="37" priority="2" operator="equal">
      <formula>"+"</formula>
    </cfRule>
  </conditionalFormatting>
  <pageMargins left="0.7" right="0.7" top="0.75" bottom="0.75" header="0.3" footer="0.3"/>
  <pageSetup paperSize="9" orientation="portrait" horizontalDpi="4294967293"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pageSetUpPr fitToPage="1"/>
  </sheetPr>
  <dimension ref="A1:N70"/>
  <sheetViews>
    <sheetView zoomScale="70" zoomScaleNormal="70" workbookViewId="0">
      <pane xSplit="2" ySplit="15" topLeftCell="C47" activePane="bottomRight" state="frozen"/>
      <selection pane="topRight" activeCell="C1" sqref="C1"/>
      <selection pane="bottomLeft" activeCell="A16" sqref="A16"/>
      <selection pane="bottomRight" activeCell="H10" sqref="H10"/>
    </sheetView>
  </sheetViews>
  <sheetFormatPr defaultRowHeight="14.4" x14ac:dyDescent="0.3"/>
  <cols>
    <col min="1" max="1" width="5.6640625" style="564" customWidth="1"/>
    <col min="2" max="2" width="20.6640625" customWidth="1"/>
    <col min="3" max="3" width="15.109375" style="564" customWidth="1"/>
    <col min="4" max="4" width="30.6640625" customWidth="1"/>
    <col min="5" max="5" width="10.6640625" style="564" customWidth="1"/>
    <col min="6" max="6" width="13.6640625" style="564" customWidth="1"/>
    <col min="7" max="7" width="10.6640625" style="564" customWidth="1"/>
    <col min="8" max="8" width="12.109375" style="564" bestFit="1" customWidth="1"/>
    <col min="9" max="10" width="15.6640625" customWidth="1"/>
    <col min="11" max="12" width="10.6640625" customWidth="1"/>
  </cols>
  <sheetData>
    <row r="1" spans="1:14" ht="21.6" thickBot="1" x14ac:dyDescent="0.45">
      <c r="A1" s="1889" t="s">
        <v>757</v>
      </c>
      <c r="B1" s="1884"/>
      <c r="C1" s="1884"/>
      <c r="D1" s="1884"/>
      <c r="E1" s="1884"/>
      <c r="F1" s="1884"/>
      <c r="G1" s="1884"/>
      <c r="H1" s="1885"/>
    </row>
    <row r="2" spans="1:14" s="1478" customFormat="1" ht="15" thickBot="1" x14ac:dyDescent="0.35">
      <c r="A2" s="564"/>
      <c r="B2"/>
      <c r="C2" s="564"/>
      <c r="D2"/>
      <c r="E2" s="1315"/>
      <c r="F2" s="1315"/>
      <c r="G2" s="1421"/>
      <c r="H2" s="564"/>
      <c r="I2"/>
      <c r="J2"/>
      <c r="K2"/>
      <c r="L2"/>
    </row>
    <row r="3" spans="1:14" ht="18.600000000000001" thickBot="1" x14ac:dyDescent="0.4">
      <c r="A3" s="1886" t="s">
        <v>558</v>
      </c>
      <c r="B3" s="1887"/>
      <c r="C3" s="1887"/>
      <c r="D3" s="1887"/>
      <c r="E3" s="1887"/>
      <c r="F3" s="1887"/>
      <c r="G3" s="1887"/>
      <c r="H3" s="1888"/>
      <c r="I3" s="1449"/>
      <c r="J3" s="2279" t="s">
        <v>845</v>
      </c>
      <c r="K3" s="2280"/>
      <c r="L3" s="2281"/>
      <c r="M3" s="1449"/>
      <c r="N3" s="1449"/>
    </row>
    <row r="4" spans="1:14" ht="16.2" thickBot="1" x14ac:dyDescent="0.35">
      <c r="B4" s="1890" t="s">
        <v>575</v>
      </c>
      <c r="C4" s="1891"/>
      <c r="D4" s="1589">
        <f>Basisgegevens!C15</f>
        <v>43466</v>
      </c>
      <c r="F4" s="1310" t="s">
        <v>756</v>
      </c>
      <c r="G4" s="1892" t="str">
        <f>Basisgegevens!C21</f>
        <v>2019 - 2e halfjaar</v>
      </c>
      <c r="H4" s="1893"/>
      <c r="I4" s="1449"/>
      <c r="J4" s="2282"/>
      <c r="K4" s="2089"/>
      <c r="L4" s="2283"/>
      <c r="M4" s="1449"/>
    </row>
    <row r="5" spans="1:14" ht="15" customHeight="1" thickBot="1" x14ac:dyDescent="0.35">
      <c r="I5" s="1449"/>
      <c r="J5" s="2282"/>
      <c r="K5" s="2089"/>
      <c r="L5" s="2283"/>
      <c r="M5" s="1449"/>
    </row>
    <row r="6" spans="1:14" ht="18.600000000000001" customHeight="1" thickBot="1" x14ac:dyDescent="0.4">
      <c r="A6" s="1882" t="s">
        <v>566</v>
      </c>
      <c r="B6" s="1869"/>
      <c r="C6" s="1869"/>
      <c r="D6" s="1869"/>
      <c r="E6" s="1869"/>
      <c r="F6" s="1869"/>
      <c r="G6" s="1869"/>
      <c r="H6" s="1883"/>
      <c r="I6" s="1449"/>
      <c r="J6" s="2282"/>
      <c r="K6" s="2089"/>
      <c r="L6" s="2283"/>
      <c r="M6" s="1449"/>
    </row>
    <row r="7" spans="1:14" ht="14.4" customHeight="1" thickBot="1" x14ac:dyDescent="0.4">
      <c r="A7" s="1314"/>
      <c r="B7" s="2230"/>
      <c r="C7" s="2230"/>
      <c r="D7" s="2230"/>
      <c r="E7" s="1313"/>
      <c r="F7" s="1313"/>
      <c r="G7" s="1313"/>
      <c r="H7" s="1313"/>
      <c r="I7" s="1449"/>
      <c r="J7" s="2282"/>
      <c r="K7" s="2089"/>
      <c r="L7" s="2283"/>
      <c r="M7" s="1449"/>
    </row>
    <row r="8" spans="1:14" ht="14.4" customHeight="1" thickBot="1" x14ac:dyDescent="0.4">
      <c r="A8" s="1314"/>
      <c r="B8" s="1442"/>
      <c r="C8" s="1442"/>
      <c r="D8" s="2273" t="s">
        <v>836</v>
      </c>
      <c r="E8" s="2274"/>
      <c r="F8" s="1348" t="str">
        <f>'Alimentatie 2019-2 (Juli)'!$E$3</f>
        <v>AP</v>
      </c>
      <c r="G8" s="1498"/>
      <c r="H8" s="1348" t="str">
        <f>'Alimentatie 2019-2 (Juli)'!$G$3</f>
        <v>AG</v>
      </c>
      <c r="I8" s="1478"/>
      <c r="J8" s="2282"/>
      <c r="K8" s="2089"/>
      <c r="L8" s="2283"/>
      <c r="M8" s="1478"/>
    </row>
    <row r="9" spans="1:14" ht="14.4" customHeight="1" x14ac:dyDescent="0.35">
      <c r="A9" s="1314"/>
      <c r="C9"/>
      <c r="D9" s="2295" t="s">
        <v>758</v>
      </c>
      <c r="E9" s="2296"/>
      <c r="F9" s="1543">
        <f>IF(Basisgegevens!C81&gt;0,'Alimentatie 2019-2 (Juli)'!E41+'Alimentatie 2019-2 (Juli)'!E50+'Alimentatie 2019-2 (Juli)'!E51+'Alimentatie 2019-2 (Juli)'!E68+'Alimentatie 2019-2 (Juli)'!E72-'Alimentatie 2019-2 (Juli)'!E73,'Alimentatie 2019-2 (Juli)'!E38+'Alimentatie 2019-2 (Juli)'!E50+'Alimentatie 2019-2 (Juli)'!E51+'Alimentatie 2019-2 (Juli)'!E68+'Alimentatie 2019-2 (Juli)'!E72-'Alimentatie 2019-2 (Juli)'!E73)</f>
        <v>0</v>
      </c>
      <c r="G9" s="1555"/>
      <c r="H9" s="1349">
        <f>IF(Basisgegevens!E81&gt;0,'Alimentatie 2019-2 (Juli)'!G41+'Alimentatie 2019-2 (Juli)'!G50+'Alimentatie 2019-2 (Juli)'!G51+'Alimentatie 2019-2 (Juli)'!G68+'Alimentatie 2019-2 (Juli)'!G72-'Alimentatie 2019-2 (Juli)'!G73,'Alimentatie 2019-2 (Juli)'!G38+'Alimentatie 2019-2 (Juli)'!G50+'Alimentatie 2019-2 (Juli)'!G51+'Alimentatie 2019-2 (Juli)'!G68+'Alimentatie 2019-2 (Juli)'!G72-'Alimentatie 2019-2 (Juli)'!G73)</f>
        <v>0</v>
      </c>
      <c r="I9" s="1449"/>
      <c r="J9" s="2282"/>
      <c r="K9" s="2089"/>
      <c r="L9" s="2283"/>
      <c r="M9" s="1449"/>
    </row>
    <row r="10" spans="1:14" ht="14.4" customHeight="1" thickBot="1" x14ac:dyDescent="0.4">
      <c r="A10" s="1314"/>
      <c r="C10"/>
      <c r="D10" s="2297" t="s">
        <v>759</v>
      </c>
      <c r="E10" s="2298"/>
      <c r="F10" s="1544">
        <f>'Alimentatie 2019-2 (Juli)'!F114+'Alimentatie 2019-2 (Juli)'!F125</f>
        <v>0</v>
      </c>
      <c r="G10" s="1454"/>
      <c r="H10" s="1464">
        <f>'Alimentatie 2019-2 (Juli)'!H114+'Alimentatie 2019-2 (Juli)'!H125</f>
        <v>0</v>
      </c>
      <c r="J10" s="2284"/>
      <c r="K10" s="2285"/>
      <c r="L10" s="2286"/>
    </row>
    <row r="11" spans="1:14" ht="14.4" customHeight="1" thickBot="1" x14ac:dyDescent="0.4">
      <c r="A11" s="1314"/>
      <c r="C11"/>
      <c r="D11" s="2297" t="s">
        <v>760</v>
      </c>
      <c r="E11" s="2298"/>
      <c r="F11" s="1544">
        <f>'Alimentatie 2019-2 (Juli)'!E158+'Alimentatie 2019-2 (Juli)'!E159+'Alimentatie 2019-2 (Juli)'!E162-'Alimentatie 2019-2 (Juli)'!E164</f>
        <v>0</v>
      </c>
      <c r="G11" s="1454"/>
      <c r="H11" s="1465">
        <f>'Alimentatie 2019-2 (Juli)'!G158+'Alimentatie 2019-2 (Juli)'!G159+'Alimentatie 2019-2 (Juli)'!G162-'Alimentatie 2019-2 (Juli)'!G164</f>
        <v>0</v>
      </c>
    </row>
    <row r="12" spans="1:14" ht="14.4" customHeight="1" thickBot="1" x14ac:dyDescent="0.4">
      <c r="A12" s="1314"/>
      <c r="C12"/>
      <c r="D12" s="2269" t="s">
        <v>761</v>
      </c>
      <c r="E12" s="2270"/>
      <c r="F12" s="1556">
        <v>0</v>
      </c>
      <c r="G12" s="1454"/>
      <c r="H12" s="1557">
        <v>0</v>
      </c>
      <c r="I12" s="1600"/>
      <c r="J12" s="1478"/>
    </row>
    <row r="13" spans="1:14" ht="14.4" customHeight="1" thickBot="1" x14ac:dyDescent="0.4">
      <c r="A13" s="1314"/>
      <c r="B13" s="1313"/>
      <c r="C13" s="1442"/>
      <c r="D13" s="2271" t="s">
        <v>835</v>
      </c>
      <c r="E13" s="2272"/>
      <c r="F13" s="1559">
        <f>SUM(F9:F12)</f>
        <v>0</v>
      </c>
      <c r="G13" s="1560"/>
      <c r="H13" s="1559">
        <f>SUM(H9:H12)</f>
        <v>0</v>
      </c>
      <c r="I13" s="1588" t="s">
        <v>839</v>
      </c>
      <c r="J13" s="1588" t="s">
        <v>844</v>
      </c>
    </row>
    <row r="14" spans="1:14" ht="14.4" customHeight="1" thickBot="1" x14ac:dyDescent="0.4">
      <c r="A14" s="1314"/>
      <c r="B14" s="1442"/>
      <c r="C14" s="1442"/>
      <c r="D14" s="2275" t="s">
        <v>834</v>
      </c>
      <c r="E14" s="2276"/>
      <c r="F14" s="1577">
        <f>F65</f>
        <v>-10716.36</v>
      </c>
      <c r="G14" s="1578"/>
      <c r="H14" s="1577">
        <f>H65</f>
        <v>-10716.36</v>
      </c>
      <c r="I14" s="1602">
        <f>F14-H14</f>
        <v>0</v>
      </c>
      <c r="J14" s="1601">
        <f>Basisgegevens!F362</f>
        <v>0</v>
      </c>
    </row>
    <row r="15" spans="1:14" ht="15" thickBot="1" x14ac:dyDescent="0.35">
      <c r="A15" s="1550"/>
      <c r="B15" s="1442"/>
      <c r="C15" s="1442"/>
      <c r="D15" s="1442"/>
      <c r="E15" s="1551"/>
      <c r="F15" s="1590"/>
      <c r="G15" s="1551"/>
      <c r="H15" s="1590"/>
    </row>
    <row r="16" spans="1:14" ht="15" thickBot="1" x14ac:dyDescent="0.35">
      <c r="A16" s="319" t="s">
        <v>415</v>
      </c>
      <c r="B16" s="2234" t="s">
        <v>160</v>
      </c>
      <c r="C16" s="1869"/>
      <c r="D16" s="1869"/>
      <c r="E16" s="2277" t="str">
        <f>'Alimentatie 2019-2 (Juli)'!$E$3</f>
        <v>AP</v>
      </c>
      <c r="F16" s="2278"/>
      <c r="G16" s="2287" t="str">
        <f>'Alimentatie 2019-2 (Juli)'!$G$3</f>
        <v>AG</v>
      </c>
      <c r="H16" s="1896"/>
      <c r="J16" s="1318"/>
    </row>
    <row r="17" spans="1:11" x14ac:dyDescent="0.3">
      <c r="A17" s="34">
        <v>64</v>
      </c>
      <c r="B17" s="1899" t="str">
        <f>'Alimentatie 2019-2 (Juli)'!C47</f>
        <v>Belastbaar loon:</v>
      </c>
      <c r="C17" s="2235"/>
      <c r="D17" s="1897"/>
      <c r="E17" s="1368">
        <f>'Alimentatie 2019-2 (Juli)'!E47</f>
        <v>0</v>
      </c>
      <c r="F17" s="1568" t="s">
        <v>113</v>
      </c>
      <c r="G17" s="1368">
        <f>'Alimentatie 2019-2 (Juli)'!G47</f>
        <v>0</v>
      </c>
      <c r="H17" s="1569" t="s">
        <v>113</v>
      </c>
      <c r="J17" s="1318"/>
    </row>
    <row r="18" spans="1:11" x14ac:dyDescent="0.3">
      <c r="A18" s="1312">
        <v>75</v>
      </c>
      <c r="B18" s="1865" t="str">
        <f>'Alimentatie 2019-2 (Juli)'!C66</f>
        <v>Belastbare winst uit onderneming:</v>
      </c>
      <c r="C18" s="1866"/>
      <c r="D18" s="1867"/>
      <c r="E18" s="1364">
        <f>'Alimentatie 2019-2 (Juli)'!E66</f>
        <v>0</v>
      </c>
      <c r="F18" s="1487" t="s">
        <v>113</v>
      </c>
      <c r="G18" s="1364">
        <f>'Alimentatie 2019-2 (Juli)'!G66</f>
        <v>0</v>
      </c>
      <c r="H18" s="1490" t="s">
        <v>113</v>
      </c>
      <c r="J18" s="1318"/>
      <c r="K18" s="1318"/>
    </row>
    <row r="19" spans="1:11" x14ac:dyDescent="0.3">
      <c r="A19" s="1312">
        <v>78</v>
      </c>
      <c r="B19" s="1865" t="str">
        <f>'Alimentatie 2019-2 (Juli)'!C70</f>
        <v>Belastbaar resultaat uit overige werkzaamheden:</v>
      </c>
      <c r="C19" s="1866"/>
      <c r="D19" s="1867"/>
      <c r="E19" s="1364">
        <f>'Alimentatie 2019-2 (Juli)'!E70</f>
        <v>0</v>
      </c>
      <c r="F19" s="1487" t="s">
        <v>113</v>
      </c>
      <c r="G19" s="1364">
        <f>'Alimentatie 2019-2 (Juli)'!G70</f>
        <v>0</v>
      </c>
      <c r="H19" s="1490" t="s">
        <v>113</v>
      </c>
    </row>
    <row r="20" spans="1:11" x14ac:dyDescent="0.3">
      <c r="A20" s="1312">
        <v>81</v>
      </c>
      <c r="B20" s="1865" t="str">
        <f>'Alimentatie 2019-2 (Juli)'!C74</f>
        <v>Belastbare periodieke uitkeringen en verstrekkingen:</v>
      </c>
      <c r="C20" s="1866"/>
      <c r="D20" s="1867"/>
      <c r="E20" s="1364">
        <f>'Alimentatie 2019-2 (Juli)'!E74</f>
        <v>0</v>
      </c>
      <c r="F20" s="1487" t="s">
        <v>113</v>
      </c>
      <c r="G20" s="1364">
        <f>'Alimentatie 2019-2 (Juli)'!G74</f>
        <v>0</v>
      </c>
      <c r="H20" s="1490" t="s">
        <v>113</v>
      </c>
    </row>
    <row r="21" spans="1:11" x14ac:dyDescent="0.3">
      <c r="A21" s="1312">
        <v>85</v>
      </c>
      <c r="B21" s="1865" t="str">
        <f>'Alimentatie 2019-2 (Juli)'!C80</f>
        <v>Belastbaar inkomen uit eigen woning:</v>
      </c>
      <c r="C21" s="1866"/>
      <c r="D21" s="1867"/>
      <c r="E21" s="1364">
        <f>'Alimentatie 2019-2 (Juli)'!E80</f>
        <v>0</v>
      </c>
      <c r="F21" s="1487" t="s">
        <v>113</v>
      </c>
      <c r="G21" s="1364">
        <f>'Alimentatie 2019-2 (Juli)'!G80</f>
        <v>0</v>
      </c>
      <c r="H21" s="1490" t="s">
        <v>113</v>
      </c>
    </row>
    <row r="22" spans="1:11" x14ac:dyDescent="0.3">
      <c r="A22" s="1312">
        <v>89</v>
      </c>
      <c r="B22" s="1865" t="str">
        <f>'Alimentatie 2019-2 (Juli)'!C86</f>
        <v>Uitgaven voor inkomensvoorziening:</v>
      </c>
      <c r="C22" s="1866"/>
      <c r="D22" s="1867"/>
      <c r="E22" s="1364">
        <f>'Alimentatie 2019-2 (Juli)'!E86</f>
        <v>0</v>
      </c>
      <c r="F22" s="1487" t="s">
        <v>113</v>
      </c>
      <c r="G22" s="1364">
        <f>'Alimentatie 2019-2 (Juli)'!G86</f>
        <v>0</v>
      </c>
      <c r="H22" s="1490" t="s">
        <v>113</v>
      </c>
    </row>
    <row r="23" spans="1:11" x14ac:dyDescent="0.3">
      <c r="A23" s="1312">
        <v>90</v>
      </c>
      <c r="B23" s="1865" t="str">
        <f>'Alimentatie 2019-2 (Juli)'!C88</f>
        <v>Uitgaven voor kinderopvang:</v>
      </c>
      <c r="C23" s="1866"/>
      <c r="D23" s="1867"/>
      <c r="E23" s="1364">
        <f>'Alimentatie 2019-2 (Juli)'!E88</f>
        <v>0</v>
      </c>
      <c r="F23" s="1487" t="s">
        <v>113</v>
      </c>
      <c r="G23" s="1364">
        <f>'Alimentatie 2019-2 (Juli)'!G88</f>
        <v>0</v>
      </c>
      <c r="H23" s="1490" t="s">
        <v>113</v>
      </c>
    </row>
    <row r="24" spans="1:11" x14ac:dyDescent="0.3">
      <c r="A24" s="1312">
        <v>93</v>
      </c>
      <c r="B24" s="1865" t="str">
        <f>'Alimentatie 2019-2 (Juli)'!C92</f>
        <v>Persoonsgebonden aftrek:</v>
      </c>
      <c r="C24" s="1866"/>
      <c r="D24" s="1867"/>
      <c r="E24" s="1364">
        <f>'Alimentatie 2019-2 (Juli)'!E92</f>
        <v>0</v>
      </c>
      <c r="F24" s="1487" t="s">
        <v>113</v>
      </c>
      <c r="G24" s="1364">
        <f>'Alimentatie 2019-2 (Juli)'!G92</f>
        <v>0</v>
      </c>
      <c r="H24" s="1490" t="s">
        <v>113</v>
      </c>
    </row>
    <row r="25" spans="1:11" x14ac:dyDescent="0.3">
      <c r="A25" s="1452">
        <v>138</v>
      </c>
      <c r="B25" s="2231" t="str">
        <f>'Alimentatie 2019-2 (Juli)'!C234</f>
        <v xml:space="preserve">Alimentatieverplichting (eerdere) ex-partner </v>
      </c>
      <c r="C25" s="2232"/>
      <c r="D25" s="2233"/>
      <c r="E25" s="1376">
        <f>'Alimentatie 2019-2 (Juli)'!E234*12</f>
        <v>0</v>
      </c>
      <c r="F25" s="1487" t="s">
        <v>107</v>
      </c>
      <c r="G25" s="1376">
        <f>'Alimentatie 2019-2 (Juli)'!G234</f>
        <v>0</v>
      </c>
      <c r="H25" s="1490" t="s">
        <v>107</v>
      </c>
    </row>
    <row r="26" spans="1:11" ht="15" thickBot="1" x14ac:dyDescent="0.35">
      <c r="A26" s="566"/>
      <c r="B26" s="2236" t="s">
        <v>817</v>
      </c>
      <c r="C26" s="2237"/>
      <c r="D26" s="2238"/>
      <c r="E26" s="1365">
        <f>H12</f>
        <v>0</v>
      </c>
      <c r="F26" s="1488" t="s">
        <v>107</v>
      </c>
      <c r="G26" s="1365">
        <f>H12</f>
        <v>0</v>
      </c>
      <c r="H26" s="1491" t="s">
        <v>113</v>
      </c>
    </row>
    <row r="27" spans="1:11" ht="15" thickBot="1" x14ac:dyDescent="0.35">
      <c r="A27" s="1458">
        <v>94</v>
      </c>
      <c r="B27" s="2239" t="s">
        <v>809</v>
      </c>
      <c r="C27" s="2239"/>
      <c r="D27" s="2240"/>
      <c r="E27" s="1346">
        <f>SUM(E17:E24)-SUM(E25:E26)</f>
        <v>0</v>
      </c>
      <c r="F27" s="1489"/>
      <c r="G27" s="1346">
        <f>SUM(G17:G26)</f>
        <v>0</v>
      </c>
      <c r="H27" s="1492"/>
    </row>
    <row r="28" spans="1:11" x14ac:dyDescent="0.3">
      <c r="A28" s="34"/>
      <c r="B28" s="2241" t="s">
        <v>810</v>
      </c>
      <c r="C28" s="2241"/>
      <c r="D28" s="2242"/>
      <c r="E28" s="1368">
        <f>Basisgegevens!V7</f>
        <v>0</v>
      </c>
      <c r="F28" s="1570" t="s">
        <v>113</v>
      </c>
      <c r="G28" s="1368">
        <f>Basisgegevens!W7</f>
        <v>0</v>
      </c>
      <c r="H28" s="1573" t="s">
        <v>113</v>
      </c>
    </row>
    <row r="29" spans="1:11" x14ac:dyDescent="0.3">
      <c r="A29" s="1312"/>
      <c r="B29" s="2241" t="s">
        <v>811</v>
      </c>
      <c r="C29" s="2241"/>
      <c r="D29" s="2242"/>
      <c r="E29" s="1368">
        <f>Basisgegevens!V8</f>
        <v>0</v>
      </c>
      <c r="F29" s="1571" t="s">
        <v>113</v>
      </c>
      <c r="G29" s="1368">
        <f>Basisgegevens!W8</f>
        <v>0</v>
      </c>
      <c r="H29" s="1574" t="s">
        <v>113</v>
      </c>
    </row>
    <row r="30" spans="1:11" x14ac:dyDescent="0.3">
      <c r="A30" s="1312"/>
      <c r="B30" s="2241" t="s">
        <v>812</v>
      </c>
      <c r="C30" s="2241"/>
      <c r="D30" s="2242"/>
      <c r="E30" s="1368">
        <f>Basisgegevens!V9</f>
        <v>0</v>
      </c>
      <c r="F30" s="1571" t="s">
        <v>113</v>
      </c>
      <c r="G30" s="1368">
        <f>Basisgegevens!W9</f>
        <v>0</v>
      </c>
      <c r="H30" s="1574" t="s">
        <v>113</v>
      </c>
    </row>
    <row r="31" spans="1:11" ht="15" thickBot="1" x14ac:dyDescent="0.35">
      <c r="A31" s="1452"/>
      <c r="B31" s="2267" t="s">
        <v>813</v>
      </c>
      <c r="C31" s="2267"/>
      <c r="D31" s="2268"/>
      <c r="E31" s="1440">
        <f>Basisgegevens!V10</f>
        <v>0</v>
      </c>
      <c r="F31" s="1561" t="s">
        <v>113</v>
      </c>
      <c r="G31" s="1440">
        <f>Basisgegevens!W10</f>
        <v>0</v>
      </c>
      <c r="H31" s="1495" t="s">
        <v>113</v>
      </c>
    </row>
    <row r="32" spans="1:11" ht="15" thickBot="1" x14ac:dyDescent="0.35">
      <c r="A32" s="1458">
        <v>95</v>
      </c>
      <c r="B32" s="2239" t="s">
        <v>814</v>
      </c>
      <c r="C32" s="2239"/>
      <c r="D32" s="2240"/>
      <c r="E32" s="1346">
        <f>SUM(E28:E31)</f>
        <v>0</v>
      </c>
      <c r="F32" s="1567" t="s">
        <v>113</v>
      </c>
      <c r="G32" s="1346">
        <f>SUM(G28:G31)</f>
        <v>0</v>
      </c>
      <c r="H32" s="1575" t="s">
        <v>113</v>
      </c>
    </row>
    <row r="33" spans="1:8" x14ac:dyDescent="0.3">
      <c r="A33" s="1338">
        <f>'Alimentatie 2019-2 (Juli)'!B117</f>
        <v>101</v>
      </c>
      <c r="B33" s="2252" t="str">
        <f>'Alimentatie 2019-2 (Juli)'!C117</f>
        <v>Inkomstebelasting (vast tarief 25%) box II:</v>
      </c>
      <c r="C33" s="2252"/>
      <c r="D33" s="2253"/>
      <c r="E33" s="1319">
        <f>'Alimentatie 2019-2 (Juli)'!E117</f>
        <v>0</v>
      </c>
      <c r="F33" s="1572" t="s">
        <v>113</v>
      </c>
      <c r="G33" s="1319">
        <f>'Alimentatie 2019-2 (Juli)'!G117</f>
        <v>0</v>
      </c>
      <c r="H33" s="1576" t="s">
        <v>113</v>
      </c>
    </row>
    <row r="34" spans="1:8" ht="15" thickBot="1" x14ac:dyDescent="0.35">
      <c r="A34" s="1452">
        <f>'Alimentatie 2019-2 (Juli)'!B142</f>
        <v>112</v>
      </c>
      <c r="B34" s="2254" t="str">
        <f>'Alimentatie 2019-2 (Juli)'!C142</f>
        <v>Inkomstebelasting (vast tarief 30%) box III:</v>
      </c>
      <c r="C34" s="2254"/>
      <c r="D34" s="2255"/>
      <c r="E34" s="1376">
        <f>'Alimentatie 2019-2 (Juli)'!E142</f>
        <v>0</v>
      </c>
      <c r="F34" s="1561" t="s">
        <v>113</v>
      </c>
      <c r="G34" s="1376">
        <f>'Alimentatie 2019-2 (Juli)'!G142</f>
        <v>0</v>
      </c>
      <c r="H34" s="1495" t="s">
        <v>113</v>
      </c>
    </row>
    <row r="35" spans="1:8" ht="15" thickBot="1" x14ac:dyDescent="0.35">
      <c r="A35" s="1545"/>
      <c r="B35" s="2247" t="s">
        <v>825</v>
      </c>
      <c r="C35" s="2247"/>
      <c r="D35" s="2248"/>
      <c r="E35" s="1346">
        <f>SUM(E32:E34)</f>
        <v>0</v>
      </c>
      <c r="F35" s="1489"/>
      <c r="G35" s="1346">
        <f>SUM(G32:G34)</f>
        <v>0</v>
      </c>
      <c r="H35" s="1492"/>
    </row>
    <row r="36" spans="1:8" ht="15" thickBot="1" x14ac:dyDescent="0.35">
      <c r="A36" s="1550"/>
      <c r="B36" s="2243"/>
      <c r="C36" s="2243"/>
      <c r="D36" s="2243"/>
      <c r="E36" s="1551"/>
      <c r="F36" s="1454"/>
      <c r="G36" s="1551"/>
      <c r="H36" s="1454"/>
    </row>
    <row r="37" spans="1:8" ht="15" thickBot="1" x14ac:dyDescent="0.35">
      <c r="A37" s="1497"/>
      <c r="B37" s="2260" t="s">
        <v>822</v>
      </c>
      <c r="C37" s="2234"/>
      <c r="D37" s="2234"/>
      <c r="E37" s="2277" t="str">
        <f>'Alimentatie 2019-2 (Juli)'!$E$3</f>
        <v>AP</v>
      </c>
      <c r="F37" s="2278"/>
      <c r="G37" s="2287" t="str">
        <f>'Alimentatie 2019-2 (Juli)'!$G$3</f>
        <v>AG</v>
      </c>
      <c r="H37" s="1896"/>
    </row>
    <row r="38" spans="1:8" x14ac:dyDescent="0.3">
      <c r="A38" s="1486"/>
      <c r="B38" s="2261" t="s">
        <v>205</v>
      </c>
      <c r="C38" s="2262"/>
      <c r="D38" s="2262"/>
      <c r="E38" s="1493">
        <f>IF(Basisgegevens!C$10="Nee",Basisgegevens!T121,Basisgegevens!T130)</f>
        <v>0</v>
      </c>
      <c r="F38" s="1494" t="s">
        <v>113</v>
      </c>
      <c r="G38" s="1839">
        <f>IF(Basisgegevens!D$10="Nee",Basisgegevens!U121,Basisgegevens!U130)</f>
        <v>0</v>
      </c>
      <c r="H38" s="1494" t="s">
        <v>113</v>
      </c>
    </row>
    <row r="39" spans="1:8" x14ac:dyDescent="0.3">
      <c r="A39" s="1452"/>
      <c r="B39" s="2263" t="s">
        <v>204</v>
      </c>
      <c r="C39" s="2264"/>
      <c r="D39" s="2264"/>
      <c r="E39" s="1678">
        <f>IF(Basisgegevens!C$10="Nee",Basisgegevens!T142,Basisgegevens!T151)</f>
        <v>0</v>
      </c>
      <c r="F39" s="1495" t="s">
        <v>113</v>
      </c>
      <c r="G39" s="1840">
        <f>IF(Basisgegevens!D$10="Nee",Basisgegevens!U142,Basisgegevens!U151)</f>
        <v>0</v>
      </c>
      <c r="H39" s="1495" t="s">
        <v>113</v>
      </c>
    </row>
    <row r="40" spans="1:8" x14ac:dyDescent="0.3">
      <c r="A40" s="1452"/>
      <c r="B40" s="2263" t="s">
        <v>50</v>
      </c>
      <c r="C40" s="2264"/>
      <c r="D40" s="2264"/>
      <c r="E40" s="1376" t="str">
        <f>IF(OR(Basisgegevens!T105="n.v.t",Basisgegevens!T105="zie AOW-tabel"),Basisgegevens!T113,Basisgegevens!T105)</f>
        <v>n.v.t</v>
      </c>
      <c r="F40" s="1495" t="s">
        <v>113</v>
      </c>
      <c r="G40" s="1840" t="str">
        <f>IF(OR(Basisgegevens!U105="n.v.t",Basisgegevens!U105="zie AOW-tabel"),Basisgegevens!U113,Basisgegevens!U105)</f>
        <v>n.v.t</v>
      </c>
      <c r="H40" s="1495" t="s">
        <v>113</v>
      </c>
    </row>
    <row r="41" spans="1:8" x14ac:dyDescent="0.3">
      <c r="A41" s="1452"/>
      <c r="B41" s="2263" t="s">
        <v>51</v>
      </c>
      <c r="C41" s="2264"/>
      <c r="D41" s="2264"/>
      <c r="E41" s="1376">
        <f>Basisgegevens!T159</f>
        <v>0</v>
      </c>
      <c r="F41" s="1495" t="s">
        <v>113</v>
      </c>
      <c r="G41" s="1840">
        <f>Basisgegevens!U159</f>
        <v>0</v>
      </c>
      <c r="H41" s="1495" t="s">
        <v>113</v>
      </c>
    </row>
    <row r="42" spans="1:8" x14ac:dyDescent="0.3">
      <c r="A42" s="1452"/>
      <c r="B42" s="2263" t="s">
        <v>221</v>
      </c>
      <c r="C42" s="2264"/>
      <c r="D42" s="2264"/>
      <c r="E42" s="1376" t="str">
        <f>Basisgegevens!Q77</f>
        <v>n.v.t</v>
      </c>
      <c r="F42" s="1495" t="s">
        <v>113</v>
      </c>
      <c r="G42" s="1840" t="str">
        <f>Basisgegevens!R77</f>
        <v>n.v.t</v>
      </c>
      <c r="H42" s="1495" t="s">
        <v>113</v>
      </c>
    </row>
    <row r="43" spans="1:8" ht="15" thickBot="1" x14ac:dyDescent="0.35">
      <c r="A43" s="33"/>
      <c r="B43" s="2265" t="s">
        <v>824</v>
      </c>
      <c r="C43" s="2266"/>
      <c r="D43" s="2266"/>
      <c r="E43" s="1365">
        <f>'Alimentatie 2019-2 (Juli)'!E154</f>
        <v>0</v>
      </c>
      <c r="F43" s="1496" t="s">
        <v>113</v>
      </c>
      <c r="G43" s="1841">
        <f>'Alimentatie 2019-2 (Juli)'!G154</f>
        <v>0</v>
      </c>
      <c r="H43" s="1496" t="s">
        <v>113</v>
      </c>
    </row>
    <row r="44" spans="1:8" ht="15" thickBot="1" x14ac:dyDescent="0.35">
      <c r="A44" s="1458">
        <f>'Alimentatie 2019-2 (Juli)'!B155</f>
        <v>116</v>
      </c>
      <c r="B44" s="2256" t="s">
        <v>823</v>
      </c>
      <c r="C44" s="2257"/>
      <c r="D44" s="2257"/>
      <c r="E44" s="1346">
        <f>SUM(E38:E43)</f>
        <v>0</v>
      </c>
      <c r="F44" s="1489"/>
      <c r="G44" s="1346">
        <f>SUM(G38:G43)</f>
        <v>0</v>
      </c>
      <c r="H44" s="1492"/>
    </row>
    <row r="45" spans="1:8" ht="15" thickBot="1" x14ac:dyDescent="0.35">
      <c r="A45" s="283">
        <f>'Alimentatie 2019-2 (Juli)'!B156</f>
        <v>117</v>
      </c>
      <c r="B45" s="2258" t="str">
        <f>'Alimentatie 2019-2 (Juli)'!C156</f>
        <v>Verschuldigde inkomensheffing:</v>
      </c>
      <c r="C45" s="2259"/>
      <c r="D45" s="1902"/>
      <c r="E45" s="1579"/>
      <c r="F45" s="284">
        <f>E35-E44</f>
        <v>0</v>
      </c>
      <c r="G45" s="1499"/>
      <c r="H45" s="284">
        <f>G35-G44</f>
        <v>0</v>
      </c>
    </row>
    <row r="46" spans="1:8" ht="15" thickBot="1" x14ac:dyDescent="0.35">
      <c r="A46" s="1550"/>
      <c r="B46" s="2243"/>
      <c r="C46" s="2243"/>
      <c r="D46" s="2243"/>
      <c r="E46" s="1551"/>
      <c r="F46" s="1454"/>
      <c r="G46" s="1551"/>
      <c r="H46" s="1454"/>
    </row>
    <row r="47" spans="1:8" ht="15" thickBot="1" x14ac:dyDescent="0.35">
      <c r="A47" s="1552"/>
      <c r="B47" s="2244" t="s">
        <v>826</v>
      </c>
      <c r="C47" s="2244"/>
      <c r="D47" s="1868"/>
      <c r="E47" s="2291" t="str">
        <f>'Alimentatie 2019-2 (Juli)'!$E$3</f>
        <v>AP</v>
      </c>
      <c r="F47" s="1896"/>
      <c r="G47" s="2290" t="str">
        <f>'Alimentatie 2019-2 (Juli)'!$G$3</f>
        <v>AG</v>
      </c>
      <c r="H47" s="1896"/>
    </row>
    <row r="48" spans="1:8" x14ac:dyDescent="0.3">
      <c r="A48" s="1371">
        <f>'Alimentatie 2019-2 (Juli)'!B173</f>
        <v>121</v>
      </c>
      <c r="B48" s="2249" t="s">
        <v>826</v>
      </c>
      <c r="C48" s="2249"/>
      <c r="D48" s="2249"/>
      <c r="E48" s="610">
        <f>F13-F45</f>
        <v>0</v>
      </c>
      <c r="F48" s="1547"/>
      <c r="G48" s="610">
        <f>H13-H45</f>
        <v>0</v>
      </c>
    </row>
    <row r="49" spans="1:9" ht="15" thickBot="1" x14ac:dyDescent="0.35">
      <c r="A49" s="1374">
        <f>'Alimentatie 2019-2 (Juli)'!B222</f>
        <v>135</v>
      </c>
      <c r="B49" s="2232" t="str">
        <f>'Alimentatie 2019-2 (Juli)'!C222</f>
        <v>Draagkrachtloos inkomen:</v>
      </c>
      <c r="C49" s="2232"/>
      <c r="D49" s="2232"/>
      <c r="E49" s="1548">
        <f>'Alimentatie 2019-2 (Juli)'!E222*12</f>
        <v>10716.36</v>
      </c>
      <c r="F49" s="1549"/>
      <c r="G49" s="1548">
        <f>'Alimentatie 2019-2 (Juli)'!G222*12</f>
        <v>10716.36</v>
      </c>
    </row>
    <row r="50" spans="1:9" ht="15" thickBot="1" x14ac:dyDescent="0.35">
      <c r="A50" s="1545"/>
      <c r="B50" s="2239" t="s">
        <v>806</v>
      </c>
      <c r="C50" s="2239"/>
      <c r="D50" s="2239"/>
      <c r="E50" s="1553"/>
      <c r="F50" s="1546">
        <f>E48-E49</f>
        <v>-10716.36</v>
      </c>
      <c r="G50" s="1553"/>
      <c r="H50" s="1554">
        <f>G48-G49</f>
        <v>-10716.36</v>
      </c>
    </row>
    <row r="51" spans="1:9" ht="15" thickBot="1" x14ac:dyDescent="0.35">
      <c r="A51" s="1550"/>
      <c r="B51" s="2243"/>
      <c r="C51" s="2243"/>
      <c r="D51" s="2243"/>
      <c r="E51" s="1551"/>
      <c r="F51" s="1454"/>
      <c r="G51" s="1551"/>
      <c r="H51" s="1454"/>
    </row>
    <row r="52" spans="1:9" ht="15" thickBot="1" x14ac:dyDescent="0.35">
      <c r="A52" s="568" t="s">
        <v>415</v>
      </c>
      <c r="B52" s="2292" t="s">
        <v>837</v>
      </c>
      <c r="C52" s="2292"/>
      <c r="D52" s="2293"/>
      <c r="E52" s="2291" t="str">
        <f>'Alimentatie 2019-2 (Juli)'!$E$3</f>
        <v>AP</v>
      </c>
      <c r="F52" s="1896"/>
      <c r="G52" s="2290" t="str">
        <f>'Alimentatie 2019-2 (Juli)'!$G$3</f>
        <v>AG</v>
      </c>
      <c r="H52" s="1896"/>
    </row>
    <row r="53" spans="1:9" x14ac:dyDescent="0.3">
      <c r="A53" s="1371" t="str">
        <f>'Alimentatie 2019-2 (Juli)'!B164</f>
        <v>119b</v>
      </c>
      <c r="B53" s="2235" t="str">
        <f>'Alimentatie 2019-2 (Juli)'!C165</f>
        <v>- Door werkgever ingehouden inkomensafhankelijke bijdrage ZVW</v>
      </c>
      <c r="C53" s="2235"/>
      <c r="D53" s="1897"/>
      <c r="E53" s="1580">
        <f>'Alimentatie 2019-2 (Juli)'!E165</f>
        <v>0</v>
      </c>
      <c r="F53" s="1494" t="s">
        <v>113</v>
      </c>
      <c r="G53" s="1580">
        <f>'Alimentatie 2019-2 (Juli)'!G165</f>
        <v>0</v>
      </c>
      <c r="H53" s="1583" t="s">
        <v>113</v>
      </c>
    </row>
    <row r="54" spans="1:9" x14ac:dyDescent="0.3">
      <c r="A54" s="1558" t="str">
        <f>'Alimentatie 2019-2 (Juli)'!B164</f>
        <v>119b</v>
      </c>
      <c r="B54" s="1866" t="str">
        <f>'Alimentatie 2019-2 (Juli)'!C166</f>
        <v>- Op aanslag zelf betaalde inkomensafhankelijke bijdrage ZVW</v>
      </c>
      <c r="C54" s="1866"/>
      <c r="D54" s="1867"/>
      <c r="E54" s="1581">
        <f>'Alimentatie 2019-2 (Juli)'!E166</f>
        <v>0</v>
      </c>
      <c r="F54" s="1495" t="s">
        <v>113</v>
      </c>
      <c r="G54" s="1581">
        <f>'Alimentatie 2019-2 (Juli)'!G166</f>
        <v>0</v>
      </c>
      <c r="H54" s="1562" t="s">
        <v>113</v>
      </c>
    </row>
    <row r="55" spans="1:9" x14ac:dyDescent="0.3">
      <c r="A55" s="1453"/>
      <c r="B55" s="2250" t="s">
        <v>804</v>
      </c>
      <c r="C55" s="2250"/>
      <c r="D55" s="2251"/>
      <c r="E55" s="1581">
        <v>0</v>
      </c>
      <c r="F55" s="1495" t="s">
        <v>113</v>
      </c>
      <c r="G55" s="1581">
        <f>H12*Basisgegevens!C149</f>
        <v>0</v>
      </c>
      <c r="H55" s="1562" t="s">
        <v>113</v>
      </c>
    </row>
    <row r="56" spans="1:9" x14ac:dyDescent="0.3">
      <c r="A56" s="1558">
        <f>'Alimentatie 2019-2 (Juli)'!B239</f>
        <v>141</v>
      </c>
      <c r="B56" s="2245" t="str">
        <f>'Alimentatie 2019-2 (Juli)'!C241</f>
        <v>Eigen aandeel kosten kinderen</v>
      </c>
      <c r="C56" s="1866"/>
      <c r="D56" s="1867"/>
      <c r="E56" s="1581">
        <f>'Alimentatie 2019-2 (Juli)'!E241*12</f>
        <v>0</v>
      </c>
      <c r="F56" s="1495" t="s">
        <v>113</v>
      </c>
      <c r="G56" s="1581">
        <f>'Alimentatie 2019-2 (Juli)'!G241*12</f>
        <v>0</v>
      </c>
      <c r="H56" s="1562" t="s">
        <v>113</v>
      </c>
    </row>
    <row r="57" spans="1:9" x14ac:dyDescent="0.3">
      <c r="A57" s="1558">
        <f>'Alimentatie 2019-2 (Juli)'!B239</f>
        <v>141</v>
      </c>
      <c r="B57" s="2245" t="str">
        <f>'Alimentatie 2019-2 (Juli)'!C240</f>
        <v>Verblijfskosten kinderen (Zorgkorting)</v>
      </c>
      <c r="C57" s="1866"/>
      <c r="D57" s="1867"/>
      <c r="E57" s="1581">
        <f>'Alimentatie 2019-2 (Juli)'!E240*12</f>
        <v>0</v>
      </c>
      <c r="F57" s="1495" t="s">
        <v>113</v>
      </c>
      <c r="G57" s="1581">
        <f>'Alimentatie 2019-2 (Juli)'!G240*12</f>
        <v>0</v>
      </c>
      <c r="H57" s="1562" t="s">
        <v>113</v>
      </c>
    </row>
    <row r="58" spans="1:9" x14ac:dyDescent="0.3">
      <c r="A58" s="1558">
        <f>'Alimentatie 2019-2 (Juli)'!B239</f>
        <v>141</v>
      </c>
      <c r="B58" s="2245" t="str">
        <f>'Alimentatie 2019-2 (Juli)'!C239</f>
        <v>Kinderalimentatie</v>
      </c>
      <c r="C58" s="1866"/>
      <c r="D58" s="1867"/>
      <c r="E58" s="1581">
        <f>'Alimentatie 2019-2 (Juli)'!E239*12</f>
        <v>0</v>
      </c>
      <c r="F58" s="1495" t="s">
        <v>113</v>
      </c>
      <c r="G58" s="1581">
        <f>'Alimentatie 2019-2 (Juli)'!G239*12</f>
        <v>0</v>
      </c>
      <c r="H58" s="1562" t="s">
        <v>113</v>
      </c>
    </row>
    <row r="59" spans="1:9" x14ac:dyDescent="0.3">
      <c r="A59" s="1558" t="str">
        <f>'Alimentatie 2019-2 (Juli)'!B233</f>
        <v>137a</v>
      </c>
      <c r="B59" s="2246" t="str">
        <f>'Alimentatie 2019-2 (Juli)'!C233</f>
        <v>Andere onderhoudsverplichtimgen</v>
      </c>
      <c r="C59" s="1866"/>
      <c r="D59" s="1867"/>
      <c r="E59" s="1581">
        <f>'Alimentatie 2019-2 (Juli)'!E233*12</f>
        <v>0</v>
      </c>
      <c r="F59" s="1495" t="s">
        <v>113</v>
      </c>
      <c r="G59" s="1581">
        <f>'Alimentatie 2019-2 (Juli)'!G233*12</f>
        <v>0</v>
      </c>
      <c r="H59" s="1562" t="s">
        <v>113</v>
      </c>
    </row>
    <row r="60" spans="1:9" x14ac:dyDescent="0.3">
      <c r="A60" s="1558" t="str">
        <f>'Alimentatie 2019-2 (Juli)'!B243</f>
        <v>141c</v>
      </c>
      <c r="B60" s="1866" t="str">
        <f>'Alimentatie 2019-2 (Juli)'!C243</f>
        <v>Andere onderhoudsverplichtimgen</v>
      </c>
      <c r="C60" s="1866"/>
      <c r="D60" s="1867"/>
      <c r="E60" s="1581">
        <f>'Alimentatie 2019-2 (Juli)'!E243*12</f>
        <v>0</v>
      </c>
      <c r="F60" s="1495" t="s">
        <v>113</v>
      </c>
      <c r="G60" s="1581">
        <f>'Alimentatie 2019-2 (Juli)'!G243*12</f>
        <v>0</v>
      </c>
      <c r="H60" s="1562" t="s">
        <v>113</v>
      </c>
    </row>
    <row r="61" spans="1:9" x14ac:dyDescent="0.3">
      <c r="A61" s="1558">
        <f>'Alimentatie 2019-2 (Juli)'!B234</f>
        <v>138</v>
      </c>
      <c r="B61" s="1866" t="str">
        <f>'Alimentatie 2019-2 (Juli)'!C234</f>
        <v xml:space="preserve">Alimentatieverplichting (eerdere) ex-partner </v>
      </c>
      <c r="C61" s="1866"/>
      <c r="D61" s="1867"/>
      <c r="E61" s="1581">
        <f>'Alimentatie 2019-2 (Juli)'!E234*12</f>
        <v>0</v>
      </c>
      <c r="F61" s="1495" t="s">
        <v>113</v>
      </c>
      <c r="G61" s="1581">
        <f>'Alimentatie 2019-2 (Juli)'!G234</f>
        <v>0</v>
      </c>
      <c r="H61" s="1562" t="s">
        <v>113</v>
      </c>
    </row>
    <row r="62" spans="1:9" ht="15" thickBot="1" x14ac:dyDescent="0.35">
      <c r="A62" s="1457"/>
      <c r="B62" s="2228" t="s">
        <v>805</v>
      </c>
      <c r="C62" s="2228"/>
      <c r="D62" s="2229"/>
      <c r="E62" s="1582">
        <f>H12</f>
        <v>0</v>
      </c>
      <c r="F62" s="1495" t="s">
        <v>113</v>
      </c>
      <c r="G62" s="1584">
        <v>0</v>
      </c>
      <c r="H62" s="1562" t="s">
        <v>113</v>
      </c>
    </row>
    <row r="63" spans="1:9" ht="15" thickBot="1" x14ac:dyDescent="0.35">
      <c r="A63" s="1545"/>
      <c r="B63" s="2239" t="s">
        <v>838</v>
      </c>
      <c r="C63" s="2239"/>
      <c r="D63" s="2240"/>
      <c r="E63" s="1545"/>
      <c r="F63" s="1554">
        <f>SUM(E53:E62)</f>
        <v>0</v>
      </c>
      <c r="G63" s="1585"/>
      <c r="H63" s="1554">
        <f>SUM(G53:G62)</f>
        <v>0</v>
      </c>
    </row>
    <row r="64" spans="1:9" ht="18.600000000000001" thickBot="1" x14ac:dyDescent="0.4">
      <c r="A64" s="1454"/>
      <c r="B64" s="2294"/>
      <c r="C64" s="2294"/>
      <c r="D64" s="2294"/>
      <c r="E64" s="1455"/>
      <c r="F64" s="1456"/>
      <c r="G64" s="1563"/>
      <c r="H64" s="1456"/>
      <c r="I64" s="1587" t="s">
        <v>840</v>
      </c>
    </row>
    <row r="65" spans="1:9" ht="18.600000000000001" thickBot="1" x14ac:dyDescent="0.4">
      <c r="A65" s="1564"/>
      <c r="B65" s="2288" t="s">
        <v>834</v>
      </c>
      <c r="C65" s="2289"/>
      <c r="D65" s="2289"/>
      <c r="E65" s="1870"/>
      <c r="F65" s="1566">
        <f>F50-F63</f>
        <v>-10716.36</v>
      </c>
      <c r="G65" s="1565"/>
      <c r="H65" s="1586">
        <f>H50-H63</f>
        <v>-10716.36</v>
      </c>
      <c r="I65" s="1603">
        <f>F65-H65</f>
        <v>0</v>
      </c>
    </row>
    <row r="66" spans="1:9" x14ac:dyDescent="0.3">
      <c r="F66" s="1320"/>
    </row>
    <row r="67" spans="1:9" x14ac:dyDescent="0.3">
      <c r="F67" s="1320"/>
    </row>
    <row r="68" spans="1:9" x14ac:dyDescent="0.3">
      <c r="F68" s="1320"/>
    </row>
    <row r="69" spans="1:9" x14ac:dyDescent="0.3">
      <c r="F69" s="1320"/>
    </row>
    <row r="70" spans="1:9" x14ac:dyDescent="0.3">
      <c r="F70" s="1320"/>
    </row>
  </sheetData>
  <sheetProtection algorithmName="SHA-512" hashValue="Fvi9AKioNkA6RAdd2VrVtDopnvaLwFncs9vfQNXK+VafxflITgRUnnm326iKdaBl+cD2rsL/wKn5BS5qh6aeTw==" saltValue="wUTwbRBEWbEVJsg5V1oS0A==" spinCount="100000" sheet="1" objects="1" scenarios="1"/>
  <protectedRanges>
    <protectedRange sqref="H12" name="H12 Alimentatie"/>
  </protectedRanges>
  <mergeCells count="72">
    <mergeCell ref="J3:L10"/>
    <mergeCell ref="G16:H16"/>
    <mergeCell ref="B65:E65"/>
    <mergeCell ref="G52:H52"/>
    <mergeCell ref="E47:F47"/>
    <mergeCell ref="G47:H47"/>
    <mergeCell ref="E37:F37"/>
    <mergeCell ref="G37:H37"/>
    <mergeCell ref="B51:D51"/>
    <mergeCell ref="B52:D52"/>
    <mergeCell ref="B63:D63"/>
    <mergeCell ref="B64:D64"/>
    <mergeCell ref="E52:F52"/>
    <mergeCell ref="D9:E9"/>
    <mergeCell ref="D10:E10"/>
    <mergeCell ref="D11:E11"/>
    <mergeCell ref="D12:E12"/>
    <mergeCell ref="D13:E13"/>
    <mergeCell ref="D8:E8"/>
    <mergeCell ref="D14:E14"/>
    <mergeCell ref="E16:F16"/>
    <mergeCell ref="A1:H1"/>
    <mergeCell ref="A3:H3"/>
    <mergeCell ref="B4:C4"/>
    <mergeCell ref="G4:H4"/>
    <mergeCell ref="A6:H6"/>
    <mergeCell ref="B29:D29"/>
    <mergeCell ref="B30:D30"/>
    <mergeCell ref="B31:D31"/>
    <mergeCell ref="B22:D22"/>
    <mergeCell ref="B24:D24"/>
    <mergeCell ref="B23:D23"/>
    <mergeCell ref="B32:D32"/>
    <mergeCell ref="B33:D33"/>
    <mergeCell ref="B34:D34"/>
    <mergeCell ref="B44:D44"/>
    <mergeCell ref="B45:D45"/>
    <mergeCell ref="B37:D37"/>
    <mergeCell ref="B38:D38"/>
    <mergeCell ref="B39:D39"/>
    <mergeCell ref="B40:D40"/>
    <mergeCell ref="B41:D41"/>
    <mergeCell ref="B42:D42"/>
    <mergeCell ref="B43:D43"/>
    <mergeCell ref="B56:D56"/>
    <mergeCell ref="B57:D57"/>
    <mergeCell ref="B58:D58"/>
    <mergeCell ref="B59:D59"/>
    <mergeCell ref="B35:D35"/>
    <mergeCell ref="B48:D48"/>
    <mergeCell ref="B49:D49"/>
    <mergeCell ref="B53:D53"/>
    <mergeCell ref="B54:D54"/>
    <mergeCell ref="B55:D55"/>
    <mergeCell ref="B50:D50"/>
    <mergeCell ref="B46:D46"/>
    <mergeCell ref="B62:D62"/>
    <mergeCell ref="B7:D7"/>
    <mergeCell ref="B25:D25"/>
    <mergeCell ref="B16:D16"/>
    <mergeCell ref="B17:D17"/>
    <mergeCell ref="B18:D18"/>
    <mergeCell ref="B19:D19"/>
    <mergeCell ref="B20:D20"/>
    <mergeCell ref="B21:D21"/>
    <mergeCell ref="B60:D60"/>
    <mergeCell ref="B61:D61"/>
    <mergeCell ref="B26:D26"/>
    <mergeCell ref="B27:D27"/>
    <mergeCell ref="B28:D28"/>
    <mergeCell ref="B36:D36"/>
    <mergeCell ref="B47:D47"/>
  </mergeCells>
  <conditionalFormatting sqref="I65">
    <cfRule type="cellIs" dxfId="36" priority="2" operator="notBetween">
      <formula>-0.5</formula>
      <formula>0.5</formula>
    </cfRule>
  </conditionalFormatting>
  <conditionalFormatting sqref="I14">
    <cfRule type="cellIs" dxfId="35" priority="1" operator="notBetween">
      <formula>-0.5</formula>
      <formula>0.5</formula>
    </cfRule>
  </conditionalFormatting>
  <pageMargins left="0.23622047244094491" right="0.23622047244094491" top="0.74803149606299213" bottom="0.74803149606299213" header="0.31496062992125984" footer="0.31496062992125984"/>
  <pageSetup paperSize="9" scale="78" orientation="portrait" blackAndWhite="1" horizont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
    <tabColor theme="5" tint="0.39997558519241921"/>
  </sheetPr>
  <dimension ref="A1:L66"/>
  <sheetViews>
    <sheetView zoomScale="70" zoomScaleNormal="70" workbookViewId="0">
      <selection activeCell="A5" sqref="A5"/>
    </sheetView>
  </sheetViews>
  <sheetFormatPr defaultColWidth="8.88671875" defaultRowHeight="14.4" x14ac:dyDescent="0.3"/>
  <cols>
    <col min="1" max="1" width="8.88671875" style="564"/>
    <col min="2" max="2" width="22.44140625" style="1316" bestFit="1" customWidth="1"/>
    <col min="3" max="3" width="15.6640625" style="1316" customWidth="1"/>
    <col min="4" max="4" width="33.109375" style="1316" customWidth="1"/>
    <col min="5" max="6" width="15.6640625" style="1315" customWidth="1"/>
    <col min="7" max="7" width="17.88671875" style="1421" bestFit="1" customWidth="1"/>
    <col min="8" max="8" width="15.6640625" style="1316" customWidth="1"/>
    <col min="9" max="12" width="9.109375" customWidth="1"/>
    <col min="13" max="16384" width="8.88671875" style="1316"/>
  </cols>
  <sheetData>
    <row r="1" spans="1:8" ht="21.6" thickBot="1" x14ac:dyDescent="0.45">
      <c r="A1" s="2322" t="s">
        <v>774</v>
      </c>
      <c r="B1" s="2323"/>
      <c r="C1" s="2323"/>
      <c r="D1" s="2323"/>
      <c r="E1" s="2323"/>
      <c r="F1" s="2323"/>
      <c r="G1" s="2323"/>
      <c r="H1" s="2324"/>
    </row>
    <row r="2" spans="1:8" ht="15" thickBot="1" x14ac:dyDescent="0.35">
      <c r="B2"/>
      <c r="C2" s="564"/>
      <c r="D2"/>
      <c r="H2" s="564"/>
    </row>
    <row r="3" spans="1:8" ht="18.600000000000001" thickBot="1" x14ac:dyDescent="0.4">
      <c r="A3" s="1886" t="s">
        <v>558</v>
      </c>
      <c r="B3" s="1887"/>
      <c r="C3" s="1887"/>
      <c r="D3" s="1887"/>
      <c r="E3" s="1887"/>
      <c r="F3" s="1887"/>
      <c r="G3" s="1887"/>
      <c r="H3" s="1888"/>
    </row>
    <row r="4" spans="1:8" ht="16.2" thickBot="1" x14ac:dyDescent="0.35">
      <c r="B4" s="1890" t="s">
        <v>575</v>
      </c>
      <c r="C4" s="1891"/>
      <c r="D4" s="1311">
        <f>Basisgegevens!C15</f>
        <v>43466</v>
      </c>
      <c r="F4" s="1353" t="s">
        <v>756</v>
      </c>
      <c r="G4" s="1892" t="str">
        <f>Basisgegevens!C21</f>
        <v>2019 - 2e halfjaar</v>
      </c>
      <c r="H4" s="1893"/>
    </row>
    <row r="5" spans="1:8" ht="15" thickBot="1" x14ac:dyDescent="0.35">
      <c r="B5"/>
      <c r="C5" s="564"/>
      <c r="D5"/>
      <c r="H5" s="564"/>
    </row>
    <row r="6" spans="1:8" ht="18.600000000000001" thickBot="1" x14ac:dyDescent="0.4">
      <c r="A6" s="1882"/>
      <c r="B6" s="1884"/>
      <c r="C6" s="1884"/>
      <c r="D6" s="1884"/>
      <c r="E6" s="1884"/>
      <c r="F6" s="1884"/>
      <c r="G6" s="1884"/>
      <c r="H6" s="1885"/>
    </row>
    <row r="7" spans="1:8" ht="15" thickBot="1" x14ac:dyDescent="0.35">
      <c r="B7"/>
      <c r="C7" s="564"/>
      <c r="D7"/>
      <c r="E7" s="1347" t="s">
        <v>82</v>
      </c>
      <c r="F7" s="1347" t="s">
        <v>769</v>
      </c>
      <c r="H7" s="564"/>
    </row>
    <row r="8" spans="1:8" x14ac:dyDescent="0.3">
      <c r="A8" s="1369">
        <f>'Alimentatie 2019-2 (Juli)'!B173</f>
        <v>121</v>
      </c>
      <c r="B8" s="1329" t="s">
        <v>771</v>
      </c>
      <c r="C8" s="1328" t="str">
        <f>Basisgegevens!C4</f>
        <v>AP</v>
      </c>
      <c r="D8" s="1330">
        <f>Basisgegevens!C5</f>
        <v>0</v>
      </c>
      <c r="E8" s="1349">
        <f>'Alimentatie 2019-2 (Juli)'!F173</f>
        <v>0</v>
      </c>
      <c r="F8" s="1349">
        <f>E8*12</f>
        <v>0</v>
      </c>
      <c r="G8" s="1422" t="s">
        <v>113</v>
      </c>
    </row>
    <row r="9" spans="1:8" ht="15" thickBot="1" x14ac:dyDescent="0.35">
      <c r="A9" s="1608">
        <f>'Alimentatie 2019-2 (Juli)'!B173</f>
        <v>121</v>
      </c>
      <c r="B9" s="1609" t="s">
        <v>770</v>
      </c>
      <c r="C9" s="575" t="str">
        <f>Basisgegevens!D4</f>
        <v>AG</v>
      </c>
      <c r="D9" s="1610">
        <f>Basisgegevens!D5</f>
        <v>0</v>
      </c>
      <c r="E9" s="1611">
        <f>'Alimentatie 2019-2 (Juli)'!G173</f>
        <v>0</v>
      </c>
      <c r="F9" s="1611">
        <f t="shared" ref="F9:F10" si="0">E9*12</f>
        <v>0</v>
      </c>
      <c r="G9" s="1422" t="s">
        <v>113</v>
      </c>
    </row>
    <row r="10" spans="1:8" ht="15" thickBot="1" x14ac:dyDescent="0.35">
      <c r="A10" s="1370"/>
      <c r="B10" s="2311" t="s">
        <v>772</v>
      </c>
      <c r="C10" s="1871"/>
      <c r="D10" s="2312"/>
      <c r="E10" s="1366">
        <f>SUM(E8:E9)</f>
        <v>0</v>
      </c>
      <c r="F10" s="1366">
        <f t="shared" si="0"/>
        <v>0</v>
      </c>
      <c r="H10" s="564"/>
    </row>
    <row r="11" spans="1:8" ht="15" thickBot="1" x14ac:dyDescent="0.35">
      <c r="A11" s="1370"/>
      <c r="B11" s="2299"/>
      <c r="C11" s="2299"/>
      <c r="D11" s="2299"/>
      <c r="E11" s="1350"/>
      <c r="F11" s="1350"/>
    </row>
    <row r="12" spans="1:8" ht="15" thickBot="1" x14ac:dyDescent="0.35">
      <c r="A12" s="1370"/>
      <c r="B12" s="2313" t="str">
        <f>Kinderalimentatie!B21</f>
        <v>Eigen aandeel ouders conform NIBUD tabel:</v>
      </c>
      <c r="C12" s="2314"/>
      <c r="D12" s="2315"/>
      <c r="E12" s="1351">
        <f>Kinderalimentatie!F21</f>
        <v>0.01</v>
      </c>
      <c r="F12" s="1351">
        <f t="shared" ref="F12:F13" si="1">E12*12</f>
        <v>0.12</v>
      </c>
      <c r="G12" s="1423" t="s">
        <v>107</v>
      </c>
      <c r="H12" s="1331"/>
    </row>
    <row r="13" spans="1:8" ht="15" thickBot="1" x14ac:dyDescent="0.35">
      <c r="A13" s="1370"/>
      <c r="B13" s="2316" t="s">
        <v>773</v>
      </c>
      <c r="C13" s="2317"/>
      <c r="D13" s="2318"/>
      <c r="E13" s="1352">
        <f>E10-E12</f>
        <v>-0.01</v>
      </c>
      <c r="F13" s="1352">
        <f t="shared" si="1"/>
        <v>-0.12</v>
      </c>
    </row>
    <row r="14" spans="1:8" ht="15" thickBot="1" x14ac:dyDescent="0.35">
      <c r="A14" s="1370"/>
      <c r="B14" s="2319" t="str">
        <f>CONCATENATE("Behoefte AP/AG a ",Basisgegevens!C155*100,"%:")</f>
        <v>Behoefte AP/AG a 60%:</v>
      </c>
      <c r="C14" s="2320"/>
      <c r="D14" s="2321"/>
      <c r="E14" s="284">
        <f>Basisgegevens!C155*Behoefteberekening!E13</f>
        <v>-6.0000000000000001E-3</v>
      </c>
      <c r="F14" s="284">
        <f>E14*12</f>
        <v>-7.2000000000000008E-2</v>
      </c>
    </row>
    <row r="15" spans="1:8" ht="15" thickBot="1" x14ac:dyDescent="0.35">
      <c r="B15" s="2299"/>
      <c r="C15" s="2299"/>
      <c r="D15" s="2299"/>
    </row>
    <row r="16" spans="1:8" ht="15" thickBot="1" x14ac:dyDescent="0.35">
      <c r="B16" s="2299"/>
      <c r="C16" s="2299"/>
      <c r="D16" s="2299"/>
      <c r="G16" s="2302" t="s">
        <v>767</v>
      </c>
    </row>
    <row r="17" spans="1:8" ht="16.2" thickBot="1" x14ac:dyDescent="0.35">
      <c r="A17" s="557" t="s">
        <v>415</v>
      </c>
      <c r="B17" s="2309" t="s">
        <v>775</v>
      </c>
      <c r="C17" s="2309"/>
      <c r="D17" s="2309"/>
      <c r="E17" s="1348" t="s">
        <v>82</v>
      </c>
      <c r="F17" s="1353" t="s">
        <v>769</v>
      </c>
      <c r="G17" s="2303"/>
    </row>
    <row r="18" spans="1:8" x14ac:dyDescent="0.3">
      <c r="A18" s="1362">
        <f>IF(Basisgegevens!E81&gt;0,'Alimentatie 2019-2 (Juli)'!B41,'Alimentatie 2019-2 (Juli)'!B38)</f>
        <v>59</v>
      </c>
      <c r="B18" s="2310" t="str">
        <f>IF(Basisgegevens!E81&gt;0,'Alimentatie 2019-2 (Juli)'!C41,'Alimentatie 2019-2 (Juli)'!C38)</f>
        <v>Inkomsten uit arbeid:</v>
      </c>
      <c r="C18" s="1874"/>
      <c r="D18" s="1875"/>
      <c r="E18" s="1319">
        <f>F18/12</f>
        <v>0</v>
      </c>
      <c r="F18" s="1415">
        <f>IF(Basisgegevens!E81&gt;0,'Alimentatie 2019-2 (Juli)'!G41-'Alimentatie 2019-2 (Juli)'!G9,'Alimentatie 2019-2 (Juli)'!G38-'Alimentatie 2019-2 (Juli)'!G9)</f>
        <v>0</v>
      </c>
      <c r="G18" s="1319">
        <f>F18</f>
        <v>0</v>
      </c>
      <c r="H18" s="1331" t="s">
        <v>113</v>
      </c>
    </row>
    <row r="19" spans="1:8" x14ac:dyDescent="0.3">
      <c r="A19" s="1363">
        <f>'Alimentatie 2019-2 (Juli)'!B9</f>
        <v>43</v>
      </c>
      <c r="B19" s="1866" t="str">
        <f>'Alimentatie 2019-2 (Juli)'!C9</f>
        <v>Bruto uitkering andere sociale verzekeringswetten</v>
      </c>
      <c r="C19" s="1866"/>
      <c r="D19" s="1867"/>
      <c r="E19" s="1364">
        <f t="shared" ref="E19:E22" si="2">F19/12</f>
        <v>0</v>
      </c>
      <c r="F19" s="1416">
        <f>'Alimentatie 2019-2 (Juli)'!G9</f>
        <v>0</v>
      </c>
      <c r="G19" s="1364">
        <f t="shared" ref="G19:G21" si="3">F19</f>
        <v>0</v>
      </c>
      <c r="H19" s="1331" t="s">
        <v>113</v>
      </c>
    </row>
    <row r="20" spans="1:8" x14ac:dyDescent="0.3">
      <c r="A20" s="1363">
        <f>'Alimentatie 2019-2 (Juli)'!B57</f>
        <v>70</v>
      </c>
      <c r="B20" s="2245" t="str">
        <f>'Alimentatie 2019-2 (Juli)'!C57</f>
        <v>Winst uit onderneming:</v>
      </c>
      <c r="C20" s="1866"/>
      <c r="D20" s="1867"/>
      <c r="E20" s="1364">
        <f t="shared" si="2"/>
        <v>0</v>
      </c>
      <c r="F20" s="1416">
        <f>'Alimentatie 2019-2 (Juli)'!G57</f>
        <v>0</v>
      </c>
      <c r="G20" s="1364">
        <f>F20-'Alimentatie 2019-2 (Juli)'!G65</f>
        <v>0</v>
      </c>
      <c r="H20" s="1331" t="s">
        <v>113</v>
      </c>
    </row>
    <row r="21" spans="1:8" x14ac:dyDescent="0.3">
      <c r="A21" s="1363">
        <f>'Alimentatie 2019-2 (Juli)'!B70</f>
        <v>78</v>
      </c>
      <c r="B21" s="1866" t="str">
        <f>'Alimentatie 2019-2 (Juli)'!C70</f>
        <v>Belastbaar resultaat uit overige werkzaamheden:</v>
      </c>
      <c r="C21" s="1866"/>
      <c r="D21" s="1867"/>
      <c r="E21" s="1364">
        <f t="shared" si="2"/>
        <v>0</v>
      </c>
      <c r="F21" s="1416">
        <f>'Alimentatie 2019-2 (Juli)'!G70</f>
        <v>0</v>
      </c>
      <c r="G21" s="1364">
        <f t="shared" si="3"/>
        <v>0</v>
      </c>
      <c r="H21" s="1331" t="s">
        <v>113</v>
      </c>
    </row>
    <row r="22" spans="1:8" ht="15" thickBot="1" x14ac:dyDescent="0.35">
      <c r="A22" s="1372">
        <f>'Alimentatie 2019-2 (Juli)'!B74</f>
        <v>81</v>
      </c>
      <c r="B22" s="2232" t="str">
        <f>'Alimentatie 2019-2 (Juli)'!C74</f>
        <v>Belastbare periodieke uitkeringen en verstrekkingen:</v>
      </c>
      <c r="C22" s="2232"/>
      <c r="D22" s="2233"/>
      <c r="E22" s="1365">
        <f t="shared" si="2"/>
        <v>0</v>
      </c>
      <c r="F22" s="1417">
        <f>'Alimentatie 2019-2 (Juli)'!G74</f>
        <v>0</v>
      </c>
      <c r="G22" s="1365">
        <f>F22</f>
        <v>0</v>
      </c>
      <c r="H22" s="1331" t="s">
        <v>113</v>
      </c>
    </row>
    <row r="23" spans="1:8" ht="15" thickBot="1" x14ac:dyDescent="0.35">
      <c r="A23" s="1373">
        <v>94</v>
      </c>
      <c r="B23" s="2239" t="s">
        <v>789</v>
      </c>
      <c r="C23" s="2239"/>
      <c r="D23" s="2304"/>
      <c r="E23" s="1367">
        <f>SUM(E18:E22)</f>
        <v>0</v>
      </c>
      <c r="F23" s="1418">
        <f>SUM(F18:F22)</f>
        <v>0</v>
      </c>
      <c r="G23" s="1366">
        <f>SUM(G18:G22)</f>
        <v>0</v>
      </c>
    </row>
    <row r="24" spans="1:8" x14ac:dyDescent="0.3">
      <c r="A24" s="1371" t="str">
        <f>CONCATENATE('Alimentatie 2019-2 (Juli)'!B114,"/",'Alimentatie 2019-2 (Juli)'!B116)</f>
        <v>98/100</v>
      </c>
      <c r="B24" s="2235" t="str">
        <f>'Alimentatie 2019-2 (Juli)'!C116</f>
        <v>Belastbaar inkomen uit aanmerkelijk belang (Box II):</v>
      </c>
      <c r="C24" s="2235"/>
      <c r="D24" s="1897"/>
      <c r="E24" s="1368">
        <f>G24/12</f>
        <v>0</v>
      </c>
      <c r="F24" s="1419">
        <f>'Alimentatie 2019-2 (Juli)'!G114</f>
        <v>0</v>
      </c>
      <c r="G24" s="1368">
        <f>'Alimentatie 2019-2 (Juli)'!G116</f>
        <v>0</v>
      </c>
      <c r="H24" s="1331" t="s">
        <v>113</v>
      </c>
    </row>
    <row r="25" spans="1:8" ht="15" thickBot="1" x14ac:dyDescent="0.35">
      <c r="A25" s="1374">
        <f>'Alimentatie 2019-2 (Juli)'!B125</f>
        <v>103</v>
      </c>
      <c r="B25" s="2307" t="str">
        <f>'Alimentatie 2019-2 (Juli)'!C125</f>
        <v>Werkelijke vermogensinkomsten:</v>
      </c>
      <c r="C25" s="2232"/>
      <c r="D25" s="2233"/>
      <c r="E25" s="1376">
        <f>F25/12</f>
        <v>0</v>
      </c>
      <c r="F25" s="1420">
        <f>'Alimentatie 2019-2 (Juli)'!G125</f>
        <v>0</v>
      </c>
      <c r="G25" s="1376">
        <f>'Alimentatie 2019-2 (Juli)'!G141</f>
        <v>0</v>
      </c>
      <c r="H25" s="1331" t="s">
        <v>113</v>
      </c>
    </row>
    <row r="26" spans="1:8" ht="15" thickBot="1" x14ac:dyDescent="0.35">
      <c r="A26" s="1375"/>
      <c r="B26" s="2259" t="s">
        <v>776</v>
      </c>
      <c r="C26" s="2259"/>
      <c r="D26" s="2308"/>
      <c r="E26" s="1377">
        <f>E23+E24+E25</f>
        <v>0</v>
      </c>
      <c r="F26" s="1414">
        <f>F23+F24+F25</f>
        <v>0</v>
      </c>
      <c r="G26" s="284">
        <f>G23+G24+G25</f>
        <v>0</v>
      </c>
    </row>
    <row r="27" spans="1:8" x14ac:dyDescent="0.3">
      <c r="B27" s="2299"/>
      <c r="C27" s="2299"/>
      <c r="D27" s="2299"/>
    </row>
    <row r="28" spans="1:8" ht="15" customHeight="1" thickBot="1" x14ac:dyDescent="0.35">
      <c r="B28" s="2299"/>
      <c r="C28" s="2299"/>
      <c r="D28" s="2299"/>
      <c r="G28" s="1424"/>
      <c r="H28" s="1359"/>
    </row>
    <row r="29" spans="1:8" ht="16.2" customHeight="1" thickBot="1" x14ac:dyDescent="0.35">
      <c r="A29" s="568" t="s">
        <v>415</v>
      </c>
      <c r="B29" s="2305" t="s">
        <v>324</v>
      </c>
      <c r="C29" s="2305"/>
      <c r="D29" s="2306"/>
      <c r="E29" s="1348" t="s">
        <v>82</v>
      </c>
      <c r="F29" s="1348" t="s">
        <v>769</v>
      </c>
      <c r="G29" s="1424"/>
      <c r="H29" s="1359"/>
    </row>
    <row r="30" spans="1:8" x14ac:dyDescent="0.3">
      <c r="A30" s="1378">
        <f>'Alimentatie 2019-2 (Juli)'!B109</f>
        <v>95</v>
      </c>
      <c r="B30" s="2235" t="str">
        <f>'Alimentatie 2019-2 (Juli)'!C109</f>
        <v>Inkomensheffing Box 1:</v>
      </c>
      <c r="C30" s="2235"/>
      <c r="D30" s="1897"/>
      <c r="E30" s="1319">
        <f t="shared" ref="E30:E32" si="4">IF(F30="n.v.t",0,F30/12)</f>
        <v>0</v>
      </c>
      <c r="F30" s="1319">
        <f>'Alimentatie 2019-2 (Juli)'!G109</f>
        <v>0</v>
      </c>
      <c r="G30" s="1422" t="s">
        <v>113</v>
      </c>
      <c r="H30" s="1359"/>
    </row>
    <row r="31" spans="1:8" x14ac:dyDescent="0.3">
      <c r="A31" s="1363">
        <f>'Alimentatie 2019-2 (Juli)'!B117</f>
        <v>101</v>
      </c>
      <c r="B31" s="1866" t="str">
        <f>'Alimentatie 2019-2 (Juli)'!C117</f>
        <v>Inkomstebelasting (vast tarief 25%) box II:</v>
      </c>
      <c r="C31" s="1866"/>
      <c r="D31" s="1867"/>
      <c r="E31" s="1364">
        <f t="shared" si="4"/>
        <v>0</v>
      </c>
      <c r="F31" s="1364">
        <f>'Alimentatie 2019-2 (Juli)'!G117</f>
        <v>0</v>
      </c>
      <c r="G31" s="1422" t="s">
        <v>113</v>
      </c>
      <c r="H31" s="1359"/>
    </row>
    <row r="32" spans="1:8" ht="15" thickBot="1" x14ac:dyDescent="0.35">
      <c r="A32" s="1372">
        <f>'Alimentatie 2019-2 (Juli)'!B142</f>
        <v>112</v>
      </c>
      <c r="B32" s="2232" t="str">
        <f>'Alimentatie 2019-2 (Juli)'!C142</f>
        <v>Inkomstebelasting (vast tarief 30%) box III:</v>
      </c>
      <c r="C32" s="2232"/>
      <c r="D32" s="2233"/>
      <c r="E32" s="1376">
        <f t="shared" si="4"/>
        <v>0</v>
      </c>
      <c r="F32" s="1376">
        <f>'Alimentatie 2019-2 (Juli)'!G142</f>
        <v>0</v>
      </c>
      <c r="G32" s="1422" t="s">
        <v>113</v>
      </c>
      <c r="H32" s="1359"/>
    </row>
    <row r="33" spans="1:12" ht="15" thickBot="1" x14ac:dyDescent="0.35">
      <c r="A33" s="1373"/>
      <c r="B33" s="2239" t="s">
        <v>777</v>
      </c>
      <c r="C33" s="2239"/>
      <c r="D33" s="2240"/>
      <c r="E33" s="1346">
        <f>SUM(E30:E32)</f>
        <v>0</v>
      </c>
      <c r="F33" s="1346">
        <f>SUM(F30:F32)</f>
        <v>0</v>
      </c>
      <c r="H33" s="1359"/>
    </row>
    <row r="34" spans="1:12" ht="15" thickBot="1" x14ac:dyDescent="0.35">
      <c r="B34" s="2299"/>
      <c r="C34" s="2299"/>
      <c r="D34" s="2299"/>
      <c r="H34" s="1359"/>
    </row>
    <row r="35" spans="1:12" ht="16.2" thickBot="1" x14ac:dyDescent="0.35">
      <c r="A35" s="651">
        <f>'Alimentatie 2019-2 (Juli)'!B147</f>
        <v>115</v>
      </c>
      <c r="B35" s="2300" t="s">
        <v>768</v>
      </c>
      <c r="C35" s="2300"/>
      <c r="D35" s="2301"/>
      <c r="E35" s="1347" t="s">
        <v>82</v>
      </c>
      <c r="F35" s="1426" t="s">
        <v>769</v>
      </c>
      <c r="H35" s="1359"/>
    </row>
    <row r="36" spans="1:12" x14ac:dyDescent="0.3">
      <c r="A36" s="1362"/>
      <c r="B36" s="1874" t="str">
        <f>'Alimentatie 2019-2 (Juli)'!C148</f>
        <v>- algemene heffingskorting</v>
      </c>
      <c r="C36" s="1874"/>
      <c r="D36" s="1875"/>
      <c r="E36" s="1319">
        <f>IF(F36="n.v.t",0,F36/12)</f>
        <v>0</v>
      </c>
      <c r="F36" s="1427">
        <f>IF(Basisgegevens!$D$10="Nee",Basisgegevens!V121,Basisgegevens!V130)</f>
        <v>0</v>
      </c>
      <c r="G36" s="1422" t="s">
        <v>113</v>
      </c>
      <c r="H36" s="1359"/>
      <c r="I36" s="1318"/>
    </row>
    <row r="37" spans="1:12" x14ac:dyDescent="0.3">
      <c r="A37" s="1363"/>
      <c r="B37" s="1866" t="str">
        <f>'Alimentatie 2019-2 (Juli)'!C150</f>
        <v>- arbeidskorting</v>
      </c>
      <c r="C37" s="1866"/>
      <c r="D37" s="1867"/>
      <c r="E37" s="1364">
        <f t="shared" ref="E37:E50" si="5">IF(F37="n.v.t",0,F37/12)</f>
        <v>0</v>
      </c>
      <c r="F37" s="1428">
        <f>'Alimentatie 2019-2 (Juli)'!G150</f>
        <v>0</v>
      </c>
      <c r="G37" s="1422" t="s">
        <v>113</v>
      </c>
      <c r="H37" s="1359"/>
    </row>
    <row r="38" spans="1:12" x14ac:dyDescent="0.3">
      <c r="A38" s="1363"/>
      <c r="B38" s="1866" t="str">
        <f>'Alimentatie 2019-2 (Juli)'!C151</f>
        <v>- inkomensonafhankelijke combinatiekorting</v>
      </c>
      <c r="C38" s="1866"/>
      <c r="D38" s="1867"/>
      <c r="E38" s="1364">
        <f t="shared" si="5"/>
        <v>0</v>
      </c>
      <c r="F38" s="1428" t="str">
        <f>'Alimentatie 2019-2 (Juli)'!G151</f>
        <v>n.v.t</v>
      </c>
      <c r="G38" s="1422" t="s">
        <v>113</v>
      </c>
      <c r="H38" s="1359"/>
    </row>
    <row r="39" spans="1:12" x14ac:dyDescent="0.3">
      <c r="A39" s="1363"/>
      <c r="B39" s="1866" t="str">
        <f>'Alimentatie 2019-2 (Juli)'!C152</f>
        <v>- ouderenkorting</v>
      </c>
      <c r="C39" s="1866"/>
      <c r="D39" s="1867"/>
      <c r="E39" s="1364">
        <f t="shared" si="5"/>
        <v>0</v>
      </c>
      <c r="F39" s="1428">
        <f>'Alimentatie 2019-2 (Juli)'!G152</f>
        <v>0</v>
      </c>
      <c r="G39" s="1422" t="s">
        <v>113</v>
      </c>
      <c r="H39" s="1359"/>
    </row>
    <row r="40" spans="1:12" x14ac:dyDescent="0.3">
      <c r="A40" s="1363"/>
      <c r="B40" s="1866" t="str">
        <f>'Alimentatie 2019-2 (Juli)'!C153</f>
        <v>- alleenstaande ouderenkorting (AOW-ers)</v>
      </c>
      <c r="C40" s="1866"/>
      <c r="D40" s="1867"/>
      <c r="E40" s="1364">
        <f t="shared" si="5"/>
        <v>0</v>
      </c>
      <c r="F40" s="1428" t="str">
        <f>'Alimentatie 2019-2 (Juli)'!G153</f>
        <v>n.v.t</v>
      </c>
      <c r="G40" s="1422" t="s">
        <v>113</v>
      </c>
      <c r="H40" s="1359"/>
    </row>
    <row r="41" spans="1:12" ht="15" thickBot="1" x14ac:dyDescent="0.35">
      <c r="A41" s="1372"/>
      <c r="B41" s="2232" t="str">
        <f>'Alimentatie 2019-2 (Juli)'!C154</f>
        <v>- andere kortingen (Jonggehandicapten, Levensloopverlof, Groene beleggingen)</v>
      </c>
      <c r="C41" s="2232"/>
      <c r="D41" s="2233"/>
      <c r="E41" s="1376">
        <f t="shared" si="5"/>
        <v>0</v>
      </c>
      <c r="F41" s="1429">
        <f>'Alimentatie 2019-2 (Juli)'!G154</f>
        <v>0</v>
      </c>
      <c r="G41" s="1422" t="s">
        <v>113</v>
      </c>
      <c r="H41" s="1359"/>
    </row>
    <row r="42" spans="1:12" ht="15" thickBot="1" x14ac:dyDescent="0.35">
      <c r="A42" s="1545">
        <f>'Alimentatie 2019-2 (Juli)'!B155</f>
        <v>116</v>
      </c>
      <c r="B42" s="2239" t="s">
        <v>778</v>
      </c>
      <c r="C42" s="2239"/>
      <c r="D42" s="2240"/>
      <c r="E42" s="1346">
        <f t="shared" si="5"/>
        <v>0</v>
      </c>
      <c r="F42" s="1436">
        <f>SUM(F36:F41)</f>
        <v>0</v>
      </c>
      <c r="G42" s="1360"/>
      <c r="H42" s="1359"/>
    </row>
    <row r="43" spans="1:12" ht="15" thickBot="1" x14ac:dyDescent="0.35">
      <c r="A43" s="1545">
        <f>'Alimentatie 2019-2 (Juli)'!B156</f>
        <v>117</v>
      </c>
      <c r="B43" s="2239" t="s">
        <v>320</v>
      </c>
      <c r="C43" s="2239"/>
      <c r="D43" s="2240"/>
      <c r="E43" s="1346">
        <f t="shared" si="5"/>
        <v>0</v>
      </c>
      <c r="F43" s="1436">
        <f>F33-F42</f>
        <v>0</v>
      </c>
      <c r="G43" s="1360"/>
      <c r="H43" s="1359"/>
    </row>
    <row r="44" spans="1:12" ht="15" thickBot="1" x14ac:dyDescent="0.35">
      <c r="A44" s="1375">
        <f>'Alimentatie 2019-2 (Juli)'!B157</f>
        <v>0</v>
      </c>
      <c r="B44" s="2259" t="str">
        <f>'Alimentatie 2019-2 (Juli)'!C157</f>
        <v>Inkomen na aftrek van inkomensheffing:</v>
      </c>
      <c r="C44" s="2259"/>
      <c r="D44" s="1902"/>
      <c r="E44" s="284">
        <f t="shared" si="5"/>
        <v>0</v>
      </c>
      <c r="F44" s="1377">
        <f>'Alimentatie 2019-2 (Juli)'!G145-F43</f>
        <v>0</v>
      </c>
      <c r="G44" s="1360"/>
      <c r="H44" s="1359"/>
    </row>
    <row r="45" spans="1:12" ht="15" thickBot="1" x14ac:dyDescent="0.35">
      <c r="B45" s="2299"/>
      <c r="C45" s="2299"/>
      <c r="D45" s="2299"/>
      <c r="H45" s="1359"/>
    </row>
    <row r="46" spans="1:12" s="1359" customFormat="1" ht="15" thickBot="1" x14ac:dyDescent="0.35">
      <c r="A46" s="568" t="s">
        <v>415</v>
      </c>
      <c r="B46" s="2332" t="s">
        <v>794</v>
      </c>
      <c r="C46" s="2332"/>
      <c r="D46" s="2333"/>
      <c r="E46" s="1348" t="s">
        <v>82</v>
      </c>
      <c r="F46" s="1430" t="s">
        <v>769</v>
      </c>
      <c r="G46" s="1421"/>
      <c r="I46"/>
      <c r="J46"/>
      <c r="K46"/>
      <c r="L46"/>
    </row>
    <row r="47" spans="1:12" x14ac:dyDescent="0.3">
      <c r="A47" s="1425" t="str">
        <f>'Alimentatie 2019-2 (Juli)'!B159</f>
        <v>119a</v>
      </c>
      <c r="B47" s="2329" t="str">
        <f>LEFT('Alimentatie 2019-2 (Juli)'!C159,16)</f>
        <v xml:space="preserve">Netto inkomsten </v>
      </c>
      <c r="C47" s="2330"/>
      <c r="D47" s="2331"/>
      <c r="E47" s="1368">
        <f t="shared" si="5"/>
        <v>0</v>
      </c>
      <c r="F47" s="1431">
        <f>'Alimentatie 2019-2 (Juli)'!G159</f>
        <v>0</v>
      </c>
      <c r="G47" s="1422" t="s">
        <v>113</v>
      </c>
      <c r="H47" s="1359"/>
    </row>
    <row r="48" spans="1:12" x14ac:dyDescent="0.3">
      <c r="A48" s="565"/>
      <c r="B48" s="1866" t="str">
        <f>'Alimentatie 2019-2 (Juli)'!C161</f>
        <v>- Kindgebonden budget + Alleenstaande ouderkop</v>
      </c>
      <c r="C48" s="1866"/>
      <c r="D48" s="1867"/>
      <c r="E48" s="1364">
        <f t="shared" si="5"/>
        <v>0</v>
      </c>
      <c r="F48" s="1428" t="str">
        <f>'Alimentatie 2019-2 (Juli)'!G161</f>
        <v>n.v.t</v>
      </c>
      <c r="G48" s="1422" t="s">
        <v>113</v>
      </c>
      <c r="H48" s="1359"/>
    </row>
    <row r="49" spans="1:12" x14ac:dyDescent="0.3">
      <c r="A49" s="565"/>
      <c r="B49" s="1866" t="str">
        <f>'Alimentatie 2019-2 (Juli)'!C165</f>
        <v>- Door werkgever ingehouden inkomensafhankelijke bijdrage ZVW</v>
      </c>
      <c r="C49" s="1866"/>
      <c r="D49" s="1867"/>
      <c r="E49" s="1364">
        <f t="shared" si="5"/>
        <v>0</v>
      </c>
      <c r="F49" s="1428">
        <f>'Alimentatie 2019-2 (Juli)'!G165</f>
        <v>0</v>
      </c>
      <c r="G49" s="1423" t="s">
        <v>107</v>
      </c>
      <c r="H49" s="1359"/>
    </row>
    <row r="50" spans="1:12" ht="15" thickBot="1" x14ac:dyDescent="0.35">
      <c r="A50" s="566"/>
      <c r="B50" s="1877" t="str">
        <f>'Alimentatie 2019-2 (Juli)'!C166</f>
        <v>- Op aanslag zelf betaalde inkomensafhankelijke bijdrage ZVW</v>
      </c>
      <c r="C50" s="1877"/>
      <c r="D50" s="1878"/>
      <c r="E50" s="1365">
        <f t="shared" si="5"/>
        <v>0</v>
      </c>
      <c r="F50" s="1432">
        <f>'Alimentatie 2019-2 (Juli)'!G166</f>
        <v>0</v>
      </c>
      <c r="G50" s="1423" t="s">
        <v>107</v>
      </c>
      <c r="H50" s="1359"/>
    </row>
    <row r="51" spans="1:12" ht="15" thickBot="1" x14ac:dyDescent="0.35">
      <c r="A51" s="1413" t="str">
        <f>'Alimentatie 2019-2 (Juli)'!B163</f>
        <v>119a</v>
      </c>
      <c r="B51" s="1871" t="str">
        <f>'Alimentatie 2019-2 (Juli)'!C163</f>
        <v>Totaal Netto inkomsten:</v>
      </c>
      <c r="C51" s="1871"/>
      <c r="D51" s="2312"/>
      <c r="E51" s="1366">
        <f>F51/12</f>
        <v>0</v>
      </c>
      <c r="F51" s="1367">
        <f>SUM(F47:F48)-SUM(F49:F50)</f>
        <v>0</v>
      </c>
      <c r="G51" s="1360"/>
      <c r="H51" s="1359"/>
    </row>
    <row r="52" spans="1:12" ht="15" thickBot="1" x14ac:dyDescent="0.35">
      <c r="A52" s="1380"/>
      <c r="B52" s="2259" t="s">
        <v>795</v>
      </c>
      <c r="C52" s="2259"/>
      <c r="D52" s="2259"/>
      <c r="E52" s="607"/>
      <c r="F52" s="1379">
        <f>F44+F51</f>
        <v>0</v>
      </c>
      <c r="G52" s="1360"/>
      <c r="H52" s="1359"/>
    </row>
    <row r="53" spans="1:12" ht="15" thickBot="1" x14ac:dyDescent="0.35">
      <c r="A53" s="1433"/>
      <c r="B53" s="2328" t="s">
        <v>779</v>
      </c>
      <c r="C53" s="2328"/>
      <c r="D53" s="2328"/>
      <c r="E53" s="1450">
        <f>SUM(Kinderalimentatie!R59:'Kinderalimentatie'!T59)</f>
        <v>0</v>
      </c>
      <c r="F53" s="1451">
        <f>12*E53</f>
        <v>0</v>
      </c>
      <c r="G53" s="1423" t="s">
        <v>107</v>
      </c>
      <c r="H53" s="1359"/>
    </row>
    <row r="54" spans="1:12" ht="15" thickBot="1" x14ac:dyDescent="0.35">
      <c r="A54" s="1380"/>
      <c r="B54" s="2259" t="s">
        <v>796</v>
      </c>
      <c r="C54" s="2259"/>
      <c r="D54" s="2259"/>
      <c r="E54" s="607">
        <f t="shared" ref="E54" si="6">IF(F54="n.v.t",0,F54/12)</f>
        <v>0</v>
      </c>
      <c r="F54" s="1379">
        <f>F52-F53</f>
        <v>0</v>
      </c>
      <c r="G54" s="1359"/>
      <c r="H54" s="1359"/>
    </row>
    <row r="55" spans="1:12" ht="15" thickBot="1" x14ac:dyDescent="0.35">
      <c r="B55" s="2299"/>
      <c r="C55" s="2299"/>
      <c r="D55" s="2299"/>
      <c r="H55" s="1359"/>
    </row>
    <row r="56" spans="1:12" s="1358" customFormat="1" ht="15" thickBot="1" x14ac:dyDescent="0.35">
      <c r="A56" s="564"/>
      <c r="B56" s="2334" t="s">
        <v>799</v>
      </c>
      <c r="C56" s="2335"/>
      <c r="D56" s="2277"/>
      <c r="E56" s="1348" t="s">
        <v>82</v>
      </c>
      <c r="F56" s="1430" t="s">
        <v>769</v>
      </c>
      <c r="G56" s="1359"/>
      <c r="H56" s="1359"/>
      <c r="I56"/>
      <c r="J56"/>
      <c r="K56"/>
      <c r="L56"/>
    </row>
    <row r="57" spans="1:12" x14ac:dyDescent="0.3">
      <c r="B57" s="2339" t="s">
        <v>797</v>
      </c>
      <c r="C57" s="2340"/>
      <c r="D57" s="2341"/>
      <c r="E57" s="1368">
        <f>E14</f>
        <v>-6.0000000000000001E-3</v>
      </c>
      <c r="F57" s="1431">
        <f>F14</f>
        <v>-7.2000000000000008E-2</v>
      </c>
      <c r="G57" s="1359"/>
      <c r="H57" s="1359"/>
    </row>
    <row r="58" spans="1:12" ht="15" thickBot="1" x14ac:dyDescent="0.35">
      <c r="B58" s="2342" t="str">
        <f>B54</f>
        <v>Netto inkomen t.b.v. eigen behoefte:</v>
      </c>
      <c r="C58" s="2343"/>
      <c r="D58" s="2344"/>
      <c r="E58" s="1376">
        <f t="shared" ref="E58" si="7">IF(F58="n.v.t",0,F58/12)</f>
        <v>0</v>
      </c>
      <c r="F58" s="1434">
        <f>F54</f>
        <v>0</v>
      </c>
      <c r="G58" s="1331" t="s">
        <v>107</v>
      </c>
      <c r="H58" s="1359"/>
    </row>
    <row r="59" spans="1:12" ht="15" thickBot="1" x14ac:dyDescent="0.35">
      <c r="B59" s="2345" t="s">
        <v>781</v>
      </c>
      <c r="C59" s="2239"/>
      <c r="D59" s="2240"/>
      <c r="E59" s="1437">
        <f>E57-E58</f>
        <v>-6.0000000000000001E-3</v>
      </c>
      <c r="F59" s="1435">
        <f>F57-F58</f>
        <v>-7.2000000000000008E-2</v>
      </c>
      <c r="G59" s="1359"/>
      <c r="H59" s="1359"/>
    </row>
    <row r="60" spans="1:12" x14ac:dyDescent="0.3">
      <c r="B60" s="2336" t="s">
        <v>790</v>
      </c>
      <c r="C60" s="2337"/>
      <c r="D60" s="2338"/>
      <c r="E60" s="1438">
        <f>F60/12</f>
        <v>0</v>
      </c>
      <c r="F60" s="1431">
        <f>Basisgegevens!Y11</f>
        <v>0</v>
      </c>
      <c r="H60" s="1359"/>
    </row>
    <row r="61" spans="1:12" ht="15" thickBot="1" x14ac:dyDescent="0.35">
      <c r="B61" s="2325" t="s">
        <v>791</v>
      </c>
      <c r="C61" s="2326"/>
      <c r="D61" s="2327"/>
      <c r="E61" s="1439">
        <f>F61/12</f>
        <v>0</v>
      </c>
      <c r="F61" s="1434">
        <f>F60*0.057</f>
        <v>0</v>
      </c>
      <c r="G61" s="1423" t="s">
        <v>113</v>
      </c>
      <c r="H61" s="1359"/>
    </row>
    <row r="62" spans="1:12" ht="15" thickBot="1" x14ac:dyDescent="0.35">
      <c r="B62" s="2345" t="s">
        <v>792</v>
      </c>
      <c r="C62" s="2239"/>
      <c r="D62" s="2240"/>
      <c r="E62" s="1346">
        <f>SUM(E60:E61)</f>
        <v>0</v>
      </c>
      <c r="F62" s="1436">
        <f>SUM(F60:F61)</f>
        <v>0</v>
      </c>
      <c r="H62" s="1359"/>
    </row>
    <row r="63" spans="1:12" ht="15" thickBot="1" x14ac:dyDescent="0.35">
      <c r="B63" s="2346" t="s">
        <v>793</v>
      </c>
      <c r="C63" s="2347"/>
      <c r="D63" s="2348"/>
      <c r="E63" s="1440">
        <f>IF(F62&lt;0.01,0,F63/12)</f>
        <v>0</v>
      </c>
      <c r="F63" s="1440">
        <f>IF(G62&lt;0.01,0,G63/12)</f>
        <v>0</v>
      </c>
      <c r="G63" s="1423" t="s">
        <v>113</v>
      </c>
      <c r="H63" s="1359"/>
    </row>
    <row r="64" spans="1:12" ht="18.600000000000001" thickBot="1" x14ac:dyDescent="0.4">
      <c r="B64" s="2349" t="s">
        <v>798</v>
      </c>
      <c r="C64" s="2350"/>
      <c r="D64" s="2288"/>
      <c r="E64" s="1606">
        <f t="shared" ref="E64" si="8">SUM(E62:E63)</f>
        <v>0</v>
      </c>
      <c r="F64" s="1607">
        <f>F62+F63</f>
        <v>0</v>
      </c>
      <c r="H64" s="1359"/>
    </row>
    <row r="65" spans="2:8" x14ac:dyDescent="0.3">
      <c r="B65" s="2299"/>
      <c r="C65" s="2299"/>
      <c r="D65" s="2299"/>
      <c r="H65" s="1359"/>
    </row>
    <row r="66" spans="2:8" x14ac:dyDescent="0.3">
      <c r="B66" s="2299"/>
      <c r="C66" s="2299"/>
      <c r="D66" s="2299"/>
      <c r="H66" s="1359"/>
    </row>
  </sheetData>
  <sheetProtection algorithmName="SHA-512" hashValue="CDMqWjvtJX4HxJmuRMpYTu5AsiTtm5gbOO8tGOIgcmP2EYXf/m5dII2R5jEy4F4FMCwPLDVMEPLzwz7Q2p1lmw==" saltValue="WCoNfT/6f8dUcZMONz9NAQ==" spinCount="100000" sheet="1" objects="1" scenarios="1"/>
  <mergeCells count="63">
    <mergeCell ref="B62:D62"/>
    <mergeCell ref="B63:D63"/>
    <mergeCell ref="B64:D64"/>
    <mergeCell ref="B65:D65"/>
    <mergeCell ref="B66:D66"/>
    <mergeCell ref="B61:D61"/>
    <mergeCell ref="B51:D51"/>
    <mergeCell ref="B52:D52"/>
    <mergeCell ref="B53:D53"/>
    <mergeCell ref="B45:D45"/>
    <mergeCell ref="B47:D47"/>
    <mergeCell ref="B48:D48"/>
    <mergeCell ref="B46:D46"/>
    <mergeCell ref="B50:D50"/>
    <mergeCell ref="B56:D56"/>
    <mergeCell ref="B60:D60"/>
    <mergeCell ref="B54:D54"/>
    <mergeCell ref="B55:D55"/>
    <mergeCell ref="B57:D57"/>
    <mergeCell ref="B58:D58"/>
    <mergeCell ref="B59:D59"/>
    <mergeCell ref="A1:H1"/>
    <mergeCell ref="A3:H3"/>
    <mergeCell ref="B4:C4"/>
    <mergeCell ref="G4:H4"/>
    <mergeCell ref="A6:H6"/>
    <mergeCell ref="B10:D10"/>
    <mergeCell ref="B11:D11"/>
    <mergeCell ref="B12:D12"/>
    <mergeCell ref="B13:D13"/>
    <mergeCell ref="B14:D14"/>
    <mergeCell ref="B15:D15"/>
    <mergeCell ref="G16:G17"/>
    <mergeCell ref="B27:D27"/>
    <mergeCell ref="B30:D30"/>
    <mergeCell ref="B31:D31"/>
    <mergeCell ref="B22:D22"/>
    <mergeCell ref="B23:D23"/>
    <mergeCell ref="B24:D24"/>
    <mergeCell ref="B29:D29"/>
    <mergeCell ref="B25:D25"/>
    <mergeCell ref="B26:D26"/>
    <mergeCell ref="B16:D16"/>
    <mergeCell ref="B17:D17"/>
    <mergeCell ref="B18:D18"/>
    <mergeCell ref="B19:D19"/>
    <mergeCell ref="B20:D20"/>
    <mergeCell ref="B21:D21"/>
    <mergeCell ref="B38:D38"/>
    <mergeCell ref="B39:D39"/>
    <mergeCell ref="B40:D40"/>
    <mergeCell ref="B49:D49"/>
    <mergeCell ref="B41:D41"/>
    <mergeCell ref="B42:D42"/>
    <mergeCell ref="B43:D43"/>
    <mergeCell ref="B44:D44"/>
    <mergeCell ref="B28:D28"/>
    <mergeCell ref="B37:D37"/>
    <mergeCell ref="B32:D32"/>
    <mergeCell ref="B33:D33"/>
    <mergeCell ref="B34:D34"/>
    <mergeCell ref="B35:D35"/>
    <mergeCell ref="B36:D36"/>
  </mergeCells>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1:AC86"/>
  <sheetViews>
    <sheetView topLeftCell="A13" zoomScale="70" zoomScaleNormal="70" workbookViewId="0">
      <selection activeCell="A14" sqref="A14"/>
    </sheetView>
  </sheetViews>
  <sheetFormatPr defaultColWidth="8.88671875" defaultRowHeight="14.4" x14ac:dyDescent="0.3"/>
  <cols>
    <col min="1" max="1" width="4.6640625" style="291" customWidth="1"/>
    <col min="2" max="2" width="34.6640625" style="291" customWidth="1"/>
    <col min="3" max="4" width="12.6640625" style="291" customWidth="1"/>
    <col min="5" max="5" width="14.6640625" style="291" customWidth="1"/>
    <col min="6" max="6" width="12.6640625" style="291" customWidth="1"/>
    <col min="7" max="7" width="10.6640625" style="291" customWidth="1"/>
    <col min="8" max="8" width="12.6640625" style="291" customWidth="1"/>
    <col min="9" max="9" width="17.6640625" style="291" customWidth="1"/>
    <col min="10" max="10" width="8.6640625" style="291" customWidth="1"/>
    <col min="11" max="11" width="9.6640625" style="291" customWidth="1"/>
    <col min="12" max="12" width="9.5546875" style="293" bestFit="1" customWidth="1"/>
    <col min="13" max="13" width="9" style="291" bestFit="1" customWidth="1"/>
    <col min="14" max="26" width="8.33203125" style="291" customWidth="1"/>
    <col min="27" max="16384" width="8.88671875" style="291"/>
  </cols>
  <sheetData>
    <row r="1" spans="1:26" ht="21.6" thickBot="1" x14ac:dyDescent="0.45">
      <c r="B1" s="813" t="s">
        <v>175</v>
      </c>
      <c r="M1" s="8" t="s">
        <v>132</v>
      </c>
    </row>
    <row r="2" spans="1:26" ht="14.4" customHeight="1" thickBot="1" x14ac:dyDescent="0.35">
      <c r="L2" s="179" t="s">
        <v>334</v>
      </c>
      <c r="M2" s="1177" t="s">
        <v>141</v>
      </c>
      <c r="N2" s="1274">
        <v>1000</v>
      </c>
      <c r="O2" s="6">
        <v>1250</v>
      </c>
      <c r="P2" s="6">
        <v>1500</v>
      </c>
      <c r="Q2" s="6">
        <v>1750</v>
      </c>
      <c r="R2" s="6">
        <v>2000</v>
      </c>
      <c r="S2" s="6">
        <v>2500</v>
      </c>
      <c r="T2" s="6">
        <v>3000</v>
      </c>
      <c r="U2" s="6">
        <v>3500</v>
      </c>
      <c r="V2" s="6">
        <v>4000</v>
      </c>
      <c r="W2" s="6">
        <v>4500</v>
      </c>
      <c r="X2" s="6">
        <v>5000</v>
      </c>
      <c r="Y2" s="6">
        <v>5500</v>
      </c>
      <c r="Z2" s="7">
        <v>6000</v>
      </c>
    </row>
    <row r="3" spans="1:26" ht="18.600000000000001" thickBot="1" x14ac:dyDescent="0.4">
      <c r="B3" s="681" t="s">
        <v>451</v>
      </c>
      <c r="C3" s="294"/>
      <c r="D3" s="294"/>
      <c r="E3" s="294"/>
      <c r="F3" s="294"/>
      <c r="G3" s="294"/>
      <c r="H3" s="294"/>
      <c r="I3" s="294"/>
      <c r="J3" s="295"/>
      <c r="L3" s="296" t="s">
        <v>335</v>
      </c>
      <c r="M3" s="1273">
        <v>4</v>
      </c>
      <c r="N3" s="297">
        <v>80</v>
      </c>
      <c r="O3" s="298">
        <v>120</v>
      </c>
      <c r="P3" s="298">
        <v>155</v>
      </c>
      <c r="Q3" s="298">
        <v>195</v>
      </c>
      <c r="R3" s="298">
        <v>230</v>
      </c>
      <c r="S3" s="298">
        <v>305</v>
      </c>
      <c r="T3" s="298">
        <v>380</v>
      </c>
      <c r="U3" s="298">
        <v>455</v>
      </c>
      <c r="V3" s="298">
        <v>530</v>
      </c>
      <c r="W3" s="298">
        <v>605</v>
      </c>
      <c r="X3" s="298">
        <v>680</v>
      </c>
      <c r="Y3" s="298">
        <v>755</v>
      </c>
      <c r="Z3" s="299">
        <v>830</v>
      </c>
    </row>
    <row r="4" spans="1:26" ht="14.4" customHeight="1" x14ac:dyDescent="0.3">
      <c r="L4" s="300" t="s">
        <v>336</v>
      </c>
      <c r="M4" s="487">
        <v>2</v>
      </c>
      <c r="N4" s="301">
        <v>70</v>
      </c>
      <c r="O4" s="302">
        <v>105</v>
      </c>
      <c r="P4" s="302">
        <v>145</v>
      </c>
      <c r="Q4" s="302">
        <v>180</v>
      </c>
      <c r="R4" s="302">
        <v>220</v>
      </c>
      <c r="S4" s="302">
        <v>295</v>
      </c>
      <c r="T4" s="302">
        <v>370</v>
      </c>
      <c r="U4" s="302">
        <v>445</v>
      </c>
      <c r="V4" s="302">
        <v>520</v>
      </c>
      <c r="W4" s="302">
        <v>595</v>
      </c>
      <c r="X4" s="302">
        <v>670</v>
      </c>
      <c r="Y4" s="302">
        <v>745</v>
      </c>
      <c r="Z4" s="303">
        <v>820</v>
      </c>
    </row>
    <row r="5" spans="1:26" ht="14.4" customHeight="1" thickBot="1" x14ac:dyDescent="0.35">
      <c r="B5" s="314" t="s">
        <v>169</v>
      </c>
      <c r="C5" s="315"/>
      <c r="D5" s="315"/>
      <c r="E5" s="315"/>
      <c r="F5" s="316"/>
      <c r="G5" s="317"/>
      <c r="L5" s="304" t="s">
        <v>337</v>
      </c>
      <c r="M5" s="488">
        <v>0</v>
      </c>
      <c r="N5" s="305">
        <v>55</v>
      </c>
      <c r="O5" s="306">
        <v>90</v>
      </c>
      <c r="P5" s="306">
        <v>130</v>
      </c>
      <c r="Q5" s="306">
        <v>165</v>
      </c>
      <c r="R5" s="306">
        <v>205</v>
      </c>
      <c r="S5" s="306">
        <v>280</v>
      </c>
      <c r="T5" s="306">
        <v>355</v>
      </c>
      <c r="U5" s="306">
        <v>430</v>
      </c>
      <c r="V5" s="306">
        <v>505</v>
      </c>
      <c r="W5" s="306">
        <v>580</v>
      </c>
      <c r="X5" s="306">
        <v>655</v>
      </c>
      <c r="Y5" s="306">
        <v>730</v>
      </c>
      <c r="Z5" s="307">
        <v>805</v>
      </c>
    </row>
    <row r="6" spans="1:26" ht="14.4" customHeight="1" thickBot="1" x14ac:dyDescent="0.35">
      <c r="C6" s="319" t="s">
        <v>554</v>
      </c>
      <c r="D6" s="319" t="s">
        <v>543</v>
      </c>
      <c r="F6" s="319" t="s">
        <v>87</v>
      </c>
    </row>
    <row r="7" spans="1:26" ht="14.4" customHeight="1" thickBot="1" x14ac:dyDescent="0.35">
      <c r="A7" s="437" t="s">
        <v>415</v>
      </c>
      <c r="B7" s="431" t="s">
        <v>544</v>
      </c>
      <c r="C7" s="318">
        <f>Basisgegevens!C16</f>
        <v>2019</v>
      </c>
      <c r="D7" s="321">
        <f>Basisgegevens!C19</f>
        <v>2019</v>
      </c>
      <c r="E7" s="2414" t="s">
        <v>467</v>
      </c>
      <c r="F7" s="561">
        <f>C7</f>
        <v>2019</v>
      </c>
      <c r="M7" s="4" t="s">
        <v>133</v>
      </c>
    </row>
    <row r="8" spans="1:26" ht="14.4" customHeight="1" thickBot="1" x14ac:dyDescent="0.35">
      <c r="A8" s="489">
        <v>121</v>
      </c>
      <c r="B8" s="432" t="str">
        <f>Basisgegevens!C4</f>
        <v>AP</v>
      </c>
      <c r="C8" s="483">
        <f>Basisgegevens!C159</f>
        <v>0</v>
      </c>
      <c r="E8" s="2415"/>
      <c r="F8" s="560"/>
      <c r="L8" s="179" t="s">
        <v>359</v>
      </c>
      <c r="M8" s="1272" t="s">
        <v>142</v>
      </c>
      <c r="N8" s="24">
        <v>1000</v>
      </c>
      <c r="O8" s="23">
        <v>1250</v>
      </c>
      <c r="P8" s="23">
        <v>1500</v>
      </c>
      <c r="Q8" s="23">
        <v>1750</v>
      </c>
      <c r="R8" s="23">
        <v>2000</v>
      </c>
      <c r="S8" s="23">
        <v>2500</v>
      </c>
      <c r="T8" s="23">
        <v>3000</v>
      </c>
      <c r="U8" s="23">
        <v>3500</v>
      </c>
      <c r="V8" s="23">
        <v>4000</v>
      </c>
      <c r="W8" s="23">
        <v>4500</v>
      </c>
      <c r="X8" s="23">
        <v>5000</v>
      </c>
      <c r="Y8" s="23">
        <v>5500</v>
      </c>
      <c r="Z8" s="11">
        <v>6000</v>
      </c>
    </row>
    <row r="9" spans="1:26" ht="14.4" customHeight="1" x14ac:dyDescent="0.3">
      <c r="A9" s="489">
        <v>121</v>
      </c>
      <c r="B9" s="432" t="str">
        <f>Basisgegevens!D4</f>
        <v>AG</v>
      </c>
      <c r="C9" s="484">
        <f>Basisgegevens!D159</f>
        <v>0</v>
      </c>
      <c r="D9" s="312"/>
      <c r="E9" s="2415"/>
      <c r="F9" s="588"/>
      <c r="L9" s="300" t="s">
        <v>338</v>
      </c>
      <c r="M9" s="1271">
        <v>8</v>
      </c>
      <c r="N9" s="12">
        <v>140</v>
      </c>
      <c r="O9" s="13">
        <v>205</v>
      </c>
      <c r="P9" s="13">
        <v>265</v>
      </c>
      <c r="Q9" s="13">
        <v>330</v>
      </c>
      <c r="R9" s="13">
        <v>390</v>
      </c>
      <c r="S9" s="13">
        <v>515</v>
      </c>
      <c r="T9" s="13">
        <v>640</v>
      </c>
      <c r="U9" s="13">
        <v>765</v>
      </c>
      <c r="V9" s="13">
        <v>890</v>
      </c>
      <c r="W9" s="13">
        <v>1015</v>
      </c>
      <c r="X9" s="13">
        <v>1140</v>
      </c>
      <c r="Y9" s="13">
        <v>1265</v>
      </c>
      <c r="Z9" s="14">
        <v>1390</v>
      </c>
    </row>
    <row r="10" spans="1:26" ht="14.4" customHeight="1" x14ac:dyDescent="0.3">
      <c r="A10" s="489"/>
      <c r="B10" s="433" t="s">
        <v>464</v>
      </c>
      <c r="C10" s="484">
        <f>Basisgegevens!E226</f>
        <v>0</v>
      </c>
      <c r="D10" s="313"/>
      <c r="E10" s="2415"/>
      <c r="F10" s="435"/>
      <c r="L10" s="300" t="s">
        <v>339</v>
      </c>
      <c r="M10" s="1269">
        <v>6</v>
      </c>
      <c r="N10" s="15">
        <v>130</v>
      </c>
      <c r="O10" s="9">
        <v>190</v>
      </c>
      <c r="P10" s="9">
        <v>255</v>
      </c>
      <c r="Q10" s="9">
        <v>315</v>
      </c>
      <c r="R10" s="9">
        <v>380</v>
      </c>
      <c r="S10" s="9">
        <v>505</v>
      </c>
      <c r="T10" s="9">
        <v>630</v>
      </c>
      <c r="U10" s="9">
        <v>755</v>
      </c>
      <c r="V10" s="9">
        <v>880</v>
      </c>
      <c r="W10" s="9">
        <v>1005</v>
      </c>
      <c r="X10" s="9">
        <v>1130</v>
      </c>
      <c r="Y10" s="9">
        <v>1255</v>
      </c>
      <c r="Z10" s="16">
        <v>1380</v>
      </c>
    </row>
    <row r="11" spans="1:26" ht="14.4" customHeight="1" thickBot="1" x14ac:dyDescent="0.35">
      <c r="A11" s="558"/>
      <c r="B11" s="434" t="s">
        <v>572</v>
      </c>
      <c r="C11" s="485">
        <f>Basisgegevens!E227</f>
        <v>0</v>
      </c>
      <c r="E11" s="2416"/>
      <c r="F11" s="328"/>
      <c r="L11" s="300" t="s">
        <v>342</v>
      </c>
      <c r="M11" s="1269">
        <v>4</v>
      </c>
      <c r="N11" s="15">
        <v>115</v>
      </c>
      <c r="O11" s="9">
        <v>180</v>
      </c>
      <c r="P11" s="9">
        <v>240</v>
      </c>
      <c r="Q11" s="9">
        <v>305</v>
      </c>
      <c r="R11" s="9">
        <v>365</v>
      </c>
      <c r="S11" s="9">
        <v>490</v>
      </c>
      <c r="T11" s="9">
        <v>615</v>
      </c>
      <c r="U11" s="9">
        <v>740</v>
      </c>
      <c r="V11" s="9">
        <v>865</v>
      </c>
      <c r="W11" s="9">
        <v>990</v>
      </c>
      <c r="X11" s="9">
        <v>1115</v>
      </c>
      <c r="Y11" s="9">
        <v>1240</v>
      </c>
      <c r="Z11" s="16">
        <v>1365</v>
      </c>
    </row>
    <row r="12" spans="1:26" ht="14.4" customHeight="1" thickBot="1" x14ac:dyDescent="0.35">
      <c r="A12" s="559"/>
      <c r="B12" s="492" t="s">
        <v>465</v>
      </c>
      <c r="C12" s="320">
        <f>SUM(C8:C11)</f>
        <v>0</v>
      </c>
      <c r="D12" s="589" t="str">
        <f>IF(C7=D7,"n.v.t",Basisgegevens!C20)</f>
        <v>n.v.t</v>
      </c>
      <c r="E12" s="590">
        <f>IF(C7=D7,C12,IF(AND(D12&lt;C8,D12&lt;C9),SUM(C8:C9),IF(AND(D12&lt;C8,D12&gt;=C9),C8,IF(AND(D12&gt;C8,D12&lt;=C9),C9,IF(AND(D12&gt;C8,D12&gt;C9),D12,"???")))))</f>
        <v>0</v>
      </c>
      <c r="F12" s="320">
        <f>SUM(F8:F11)</f>
        <v>0</v>
      </c>
      <c r="L12" s="308" t="s">
        <v>340</v>
      </c>
      <c r="M12" s="1269">
        <v>2</v>
      </c>
      <c r="N12" s="15">
        <v>105</v>
      </c>
      <c r="O12" s="9">
        <v>165</v>
      </c>
      <c r="P12" s="9">
        <v>230</v>
      </c>
      <c r="Q12" s="9">
        <v>290</v>
      </c>
      <c r="R12" s="9">
        <v>355</v>
      </c>
      <c r="S12" s="9">
        <v>480</v>
      </c>
      <c r="T12" s="9">
        <v>605</v>
      </c>
      <c r="U12" s="9">
        <v>730</v>
      </c>
      <c r="V12" s="9">
        <v>855</v>
      </c>
      <c r="W12" s="9">
        <v>980</v>
      </c>
      <c r="X12" s="9">
        <v>1105</v>
      </c>
      <c r="Y12" s="9">
        <v>1230</v>
      </c>
      <c r="Z12" s="16">
        <v>1355</v>
      </c>
    </row>
    <row r="13" spans="1:26" ht="14.4" customHeight="1" thickBot="1" x14ac:dyDescent="0.35">
      <c r="A13" s="1334"/>
      <c r="B13" s="1890" t="str">
        <f>Basisgegevens!B230</f>
        <v>Een NBI tbv KA  &gt; € 6000 maximaliseren op € 6000?</v>
      </c>
      <c r="C13" s="2351"/>
      <c r="D13" s="2352"/>
      <c r="E13" s="1327" t="str">
        <f>Basisgegevens!C230</f>
        <v>Ja</v>
      </c>
      <c r="L13" s="309" t="s">
        <v>341</v>
      </c>
      <c r="M13" s="1270">
        <v>0</v>
      </c>
      <c r="N13" s="17">
        <v>95</v>
      </c>
      <c r="O13" s="18">
        <v>155</v>
      </c>
      <c r="P13" s="18">
        <v>220</v>
      </c>
      <c r="Q13" s="18">
        <v>280</v>
      </c>
      <c r="R13" s="18">
        <v>345</v>
      </c>
      <c r="S13" s="18">
        <v>470</v>
      </c>
      <c r="T13" s="18">
        <v>595</v>
      </c>
      <c r="U13" s="18">
        <v>720</v>
      </c>
      <c r="V13" s="18">
        <v>845</v>
      </c>
      <c r="W13" s="18">
        <v>970</v>
      </c>
      <c r="X13" s="18">
        <v>1095</v>
      </c>
      <c r="Y13" s="18">
        <v>1220</v>
      </c>
      <c r="Z13" s="19">
        <v>1345</v>
      </c>
    </row>
    <row r="14" spans="1:26" ht="14.4" customHeight="1" thickBot="1" x14ac:dyDescent="0.35">
      <c r="F14" s="2431" t="s">
        <v>765</v>
      </c>
      <c r="G14" s="2431" t="s">
        <v>766</v>
      </c>
    </row>
    <row r="15" spans="1:26" ht="14.4" customHeight="1" thickBot="1" x14ac:dyDescent="0.35">
      <c r="B15" s="2428" t="s">
        <v>168</v>
      </c>
      <c r="C15" s="2429"/>
      <c r="D15" s="2429"/>
      <c r="E15" s="2430"/>
      <c r="F15" s="2432"/>
      <c r="G15" s="2433"/>
      <c r="M15" s="4" t="s">
        <v>144</v>
      </c>
    </row>
    <row r="16" spans="1:26" ht="14.4" customHeight="1" thickBot="1" x14ac:dyDescent="0.35">
      <c r="B16" s="2425" t="s">
        <v>172</v>
      </c>
      <c r="C16" s="2426"/>
      <c r="D16" s="2426"/>
      <c r="E16" s="2427"/>
      <c r="F16" s="1321">
        <f>IF($E$12&lt;=N2,N2,IF($E$12&gt;=Z2,Y2,IF(AND($E$12&gt;N2,$E$12&lt;O2),N2,IF(AND($E$12&gt;=O2,$E$12&lt;P2),O2,IF(AND($E$12&gt;=P2,$E$12&lt;Q2),P2,IF(AND($E$12&gt;=Q2,$E$12&lt;R2),Q2,IF(AND($E$12&gt;=R2,$E$12&lt;S2),R2,IF(AND($E$12&gt;=S2,$E$12&lt;T2),S2,IF(AND($E$12&gt;=T2,$E$12&lt;U2),T2,IF(AND($E$12&gt;=U2,$E$12&lt;V2),U2,IF(AND($E$12&gt;=V2,$E$12&lt;W2),V2,IF(AND($E$12&gt;=W2,$E$12&lt;X2),W2,IF(AND($E$12&gt;=X2,$E$12&lt;Y2),X2,IF(AND($E$12&gt;=Y2,$E$12&lt;Z2),Y2,0))))))))))))))</f>
        <v>1000</v>
      </c>
      <c r="G16" s="591">
        <f>IF($E$12&lt;=N2,O2,IF($E$12&gt;=Z2,Z2,IF(AND($E$12&gt;N2,$E$12&lt;O2),O2,IF(AND($E$12&gt;=O2,$E$12&lt;P2),P2,IF(AND($E$12&gt;=P2,$E$12&lt;Q2),Q2,IF(AND($E$12&gt;=Q2,$E$12&lt;R2),R2,IF(AND($E$12&gt;=R2,$E$12&lt;S2),S2,IF(AND($E$12&gt;=S2,$E$12&lt;T2),T2,IF(AND($E$12&gt;=T2,$E$12&lt;U2),U2,IF(AND($E$12&gt;=U2,$E$12&lt;V2),V2,IF(AND($E$12&gt;=V2,$E$12&lt;W2),W2,IF(AND($E$12&gt;=W2,$E$12&lt;X2),X2,IF(AND($E$12&gt;=X2,$E$12&lt;Y2),Y2,IF(AND($E$12&gt;=Y2,$E$12&lt;Z2),Z2,0))))))))))))))</f>
        <v>1250</v>
      </c>
      <c r="L16" s="179" t="s">
        <v>359</v>
      </c>
      <c r="M16" s="1267" t="s">
        <v>143</v>
      </c>
      <c r="N16" s="24">
        <v>1000</v>
      </c>
      <c r="O16" s="23">
        <v>1250</v>
      </c>
      <c r="P16" s="23">
        <v>1500</v>
      </c>
      <c r="Q16" s="23">
        <v>1750</v>
      </c>
      <c r="R16" s="23">
        <v>2000</v>
      </c>
      <c r="S16" s="23">
        <v>2500</v>
      </c>
      <c r="T16" s="23">
        <v>3000</v>
      </c>
      <c r="U16" s="23">
        <v>3500</v>
      </c>
      <c r="V16" s="23">
        <v>4000</v>
      </c>
      <c r="W16" s="23">
        <v>4500</v>
      </c>
      <c r="X16" s="23">
        <v>5000</v>
      </c>
      <c r="Y16" s="23">
        <v>5500</v>
      </c>
      <c r="Z16" s="11">
        <v>6000</v>
      </c>
    </row>
    <row r="17" spans="2:26" ht="14.4" customHeight="1" thickBot="1" x14ac:dyDescent="0.35">
      <c r="B17" s="2434" t="str">
        <f>IF(F29=1,CONCATENATE("De tabelwaarde uit: ",MID(D30,16,17)," / ",G29," punten"),CONCATENATE("De tabelwaarden uit: ",MID(D30,16,21)," / ",G29," punten"))</f>
        <v>De tabelwaarden uit:  / 0 punten</v>
      </c>
      <c r="C17" s="2435"/>
      <c r="D17" s="2435"/>
      <c r="E17" s="2436"/>
      <c r="F17" s="592">
        <f>IF(H29=0,0.01,VLOOKUP(CONCATENATE(H29,"-",G29),L2:Z35,2+MATCH(F16,N2:Z2,0),FALSE))</f>
        <v>0.01</v>
      </c>
      <c r="G17" s="593">
        <f>IF(H29=0,0.01,VLOOKUP(CONCATENATE(H29,"-",G29),L2:Z35,2+MATCH(G16,N2:Z2,0),FALSE))</f>
        <v>0.01</v>
      </c>
      <c r="H17" s="2442" t="s">
        <v>546</v>
      </c>
      <c r="I17" s="2443"/>
      <c r="J17" s="2444"/>
      <c r="L17" s="310" t="s">
        <v>343</v>
      </c>
      <c r="M17" s="1271">
        <v>12</v>
      </c>
      <c r="N17" s="12">
        <v>135</v>
      </c>
      <c r="O17" s="13">
        <v>205</v>
      </c>
      <c r="P17" s="13">
        <v>280</v>
      </c>
      <c r="Q17" s="13">
        <v>350</v>
      </c>
      <c r="R17" s="13">
        <v>425</v>
      </c>
      <c r="S17" s="13">
        <v>570</v>
      </c>
      <c r="T17" s="13">
        <v>715</v>
      </c>
      <c r="U17" s="13">
        <v>860</v>
      </c>
      <c r="V17" s="13">
        <v>1005</v>
      </c>
      <c r="W17" s="13">
        <v>1150</v>
      </c>
      <c r="X17" s="13">
        <v>1295</v>
      </c>
      <c r="Y17" s="13">
        <v>1440</v>
      </c>
      <c r="Z17" s="14">
        <v>1585</v>
      </c>
    </row>
    <row r="18" spans="2:26" ht="14.4" customHeight="1" x14ac:dyDescent="0.3">
      <c r="B18" s="2365" t="s">
        <v>171</v>
      </c>
      <c r="C18" s="2366"/>
      <c r="D18" s="2366"/>
      <c r="E18" s="2367"/>
      <c r="F18" s="594">
        <f>IF(AND(E12&gt;=Z2,E13="Ja"),0,E12-F16)</f>
        <v>-1000</v>
      </c>
      <c r="G18" s="1288" t="str">
        <f>IF(F16&gt;=Z2,"&gt;= E 6000: Bedrag is gemaximaliseerd op hoogste tabelwaarde","")</f>
        <v/>
      </c>
      <c r="L18" s="300" t="s">
        <v>344</v>
      </c>
      <c r="M18" s="1269">
        <v>10</v>
      </c>
      <c r="N18" s="15">
        <v>125</v>
      </c>
      <c r="O18" s="9">
        <v>195</v>
      </c>
      <c r="P18" s="9">
        <v>270</v>
      </c>
      <c r="Q18" s="9">
        <v>340</v>
      </c>
      <c r="R18" s="9">
        <v>415</v>
      </c>
      <c r="S18" s="9">
        <v>560</v>
      </c>
      <c r="T18" s="9">
        <v>705</v>
      </c>
      <c r="U18" s="9">
        <v>850</v>
      </c>
      <c r="V18" s="9">
        <v>995</v>
      </c>
      <c r="W18" s="9">
        <v>1140</v>
      </c>
      <c r="X18" s="9">
        <v>1285</v>
      </c>
      <c r="Y18" s="9">
        <v>1430</v>
      </c>
      <c r="Z18" s="16">
        <v>1575</v>
      </c>
    </row>
    <row r="19" spans="2:26" ht="14.4" customHeight="1" x14ac:dyDescent="0.3">
      <c r="B19" s="2378" t="s">
        <v>173</v>
      </c>
      <c r="C19" s="2379"/>
      <c r="D19" s="2379"/>
      <c r="E19" s="2380"/>
      <c r="F19" s="596">
        <f>IF(AND(E12&gt;=Z2,E13="Ja"),0,G16-F16)</f>
        <v>250</v>
      </c>
      <c r="G19" s="595"/>
      <c r="L19" s="300" t="s">
        <v>345</v>
      </c>
      <c r="M19" s="1269">
        <v>8</v>
      </c>
      <c r="N19" s="15">
        <v>110</v>
      </c>
      <c r="O19" s="9">
        <v>185</v>
      </c>
      <c r="P19" s="9">
        <v>255</v>
      </c>
      <c r="Q19" s="9">
        <v>330</v>
      </c>
      <c r="R19" s="9">
        <v>400</v>
      </c>
      <c r="S19" s="9">
        <v>545</v>
      </c>
      <c r="T19" s="9">
        <v>690</v>
      </c>
      <c r="U19" s="9">
        <v>835</v>
      </c>
      <c r="V19" s="9">
        <v>980</v>
      </c>
      <c r="W19" s="9">
        <v>1125</v>
      </c>
      <c r="X19" s="9">
        <v>1270</v>
      </c>
      <c r="Y19" s="9">
        <v>1415</v>
      </c>
      <c r="Z19" s="16">
        <v>1560</v>
      </c>
    </row>
    <row r="20" spans="2:26" ht="14.4" customHeight="1" thickBot="1" x14ac:dyDescent="0.35">
      <c r="B20" s="2368" t="s">
        <v>174</v>
      </c>
      <c r="C20" s="2369"/>
      <c r="D20" s="2369"/>
      <c r="E20" s="2370"/>
      <c r="F20" s="597">
        <f>IF(AND(E12&gt;=Z2,E13="Ja"),0,(F18/F19)*(G17-F17))</f>
        <v>0</v>
      </c>
      <c r="G20" s="595"/>
      <c r="L20" s="300" t="s">
        <v>346</v>
      </c>
      <c r="M20" s="1269">
        <v>6</v>
      </c>
      <c r="N20" s="15">
        <v>100</v>
      </c>
      <c r="O20" s="9">
        <v>175</v>
      </c>
      <c r="P20" s="9">
        <v>245</v>
      </c>
      <c r="Q20" s="9">
        <v>320</v>
      </c>
      <c r="R20" s="9">
        <v>390</v>
      </c>
      <c r="S20" s="9">
        <v>535</v>
      </c>
      <c r="T20" s="9">
        <v>680</v>
      </c>
      <c r="U20" s="9">
        <v>825</v>
      </c>
      <c r="V20" s="9">
        <v>970</v>
      </c>
      <c r="W20" s="9">
        <v>1115</v>
      </c>
      <c r="X20" s="9">
        <v>1260</v>
      </c>
      <c r="Y20" s="9">
        <v>1405</v>
      </c>
      <c r="Z20" s="16">
        <v>1550</v>
      </c>
    </row>
    <row r="21" spans="2:26" ht="14.4" customHeight="1" thickBot="1" x14ac:dyDescent="0.35">
      <c r="B21" s="2381" t="s">
        <v>547</v>
      </c>
      <c r="C21" s="2382"/>
      <c r="D21" s="2382"/>
      <c r="E21" s="2383"/>
      <c r="F21" s="598">
        <f>IF(AND(E12&gt;=Z2,E13="Ja"),F18,((E12-F16)/((G16-F16))*(G17-F17))+F17)</f>
        <v>0.01</v>
      </c>
      <c r="G21" s="1281"/>
      <c r="L21" s="300" t="s">
        <v>347</v>
      </c>
      <c r="M21" s="1269">
        <v>4</v>
      </c>
      <c r="N21" s="15">
        <v>90</v>
      </c>
      <c r="O21" s="9">
        <v>160</v>
      </c>
      <c r="P21" s="9">
        <v>235</v>
      </c>
      <c r="Q21" s="9">
        <v>305</v>
      </c>
      <c r="R21" s="9">
        <v>380</v>
      </c>
      <c r="S21" s="9">
        <v>525</v>
      </c>
      <c r="T21" s="9">
        <v>670</v>
      </c>
      <c r="U21" s="9">
        <v>815</v>
      </c>
      <c r="V21" s="9">
        <v>960</v>
      </c>
      <c r="W21" s="9">
        <v>1105</v>
      </c>
      <c r="X21" s="9">
        <v>1250</v>
      </c>
      <c r="Y21" s="9">
        <v>1395</v>
      </c>
      <c r="Z21" s="16">
        <v>1540</v>
      </c>
    </row>
    <row r="22" spans="2:26" ht="14.4" customHeight="1" thickBot="1" x14ac:dyDescent="0.35">
      <c r="L22" s="300" t="s">
        <v>348</v>
      </c>
      <c r="M22" s="1269">
        <v>2</v>
      </c>
      <c r="N22" s="15">
        <v>80</v>
      </c>
      <c r="O22" s="9">
        <v>150</v>
      </c>
      <c r="P22" s="9">
        <v>225</v>
      </c>
      <c r="Q22" s="9">
        <v>295</v>
      </c>
      <c r="R22" s="9">
        <v>370</v>
      </c>
      <c r="S22" s="9">
        <v>515</v>
      </c>
      <c r="T22" s="9">
        <v>660</v>
      </c>
      <c r="U22" s="9">
        <v>805</v>
      </c>
      <c r="V22" s="9">
        <v>950</v>
      </c>
      <c r="W22" s="9">
        <v>1095</v>
      </c>
      <c r="X22" s="9">
        <v>1240</v>
      </c>
      <c r="Y22" s="9">
        <v>1385</v>
      </c>
      <c r="Z22" s="16">
        <v>1530</v>
      </c>
    </row>
    <row r="23" spans="2:26" ht="14.4" customHeight="1" thickBot="1" x14ac:dyDescent="0.35">
      <c r="H23" s="2447" t="str">
        <f>Basisgegevens!F215</f>
        <v>Meer dan 4 kids? Alleen oudste 4 meetellen</v>
      </c>
      <c r="L23" s="304" t="s">
        <v>349</v>
      </c>
      <c r="M23" s="1270">
        <v>0</v>
      </c>
      <c r="N23" s="17">
        <v>65</v>
      </c>
      <c r="O23" s="18">
        <v>140</v>
      </c>
      <c r="P23" s="18">
        <v>210</v>
      </c>
      <c r="Q23" s="18">
        <v>285</v>
      </c>
      <c r="R23" s="18">
        <v>355</v>
      </c>
      <c r="S23" s="18">
        <v>500</v>
      </c>
      <c r="T23" s="18">
        <v>645</v>
      </c>
      <c r="U23" s="18">
        <v>790</v>
      </c>
      <c r="V23" s="18">
        <v>935</v>
      </c>
      <c r="W23" s="18">
        <v>1080</v>
      </c>
      <c r="X23" s="18">
        <v>1225</v>
      </c>
      <c r="Y23" s="18">
        <v>1370</v>
      </c>
      <c r="Z23" s="19">
        <v>1515</v>
      </c>
    </row>
    <row r="24" spans="2:26" ht="14.4" customHeight="1" thickBot="1" x14ac:dyDescent="0.35">
      <c r="B24" s="4" t="s">
        <v>134</v>
      </c>
      <c r="D24" s="2439" t="s">
        <v>463</v>
      </c>
      <c r="E24" s="2440"/>
      <c r="F24" s="2441"/>
      <c r="G24" s="2374" t="s">
        <v>211</v>
      </c>
      <c r="H24" s="2448"/>
      <c r="I24" s="1972" t="s">
        <v>454</v>
      </c>
    </row>
    <row r="25" spans="2:26" ht="14.4" customHeight="1" thickBot="1" x14ac:dyDescent="0.35">
      <c r="B25" s="563" t="s">
        <v>135</v>
      </c>
      <c r="C25" s="30" t="s">
        <v>139</v>
      </c>
      <c r="D25" s="61" t="str">
        <f>Basisgegevens!$C$4</f>
        <v>AP</v>
      </c>
      <c r="E25" s="272" t="str">
        <f>Basisgegevens!$D$4</f>
        <v>AG</v>
      </c>
      <c r="F25" s="53" t="s">
        <v>84</v>
      </c>
      <c r="G25" s="2445"/>
      <c r="H25" s="2449"/>
      <c r="I25" s="2446" t="s">
        <v>453</v>
      </c>
      <c r="M25" s="4" t="s">
        <v>145</v>
      </c>
    </row>
    <row r="26" spans="2:26" ht="14.4" customHeight="1" thickBot="1" x14ac:dyDescent="0.35">
      <c r="B26" s="486" t="s">
        <v>136</v>
      </c>
      <c r="C26" s="436">
        <v>4</v>
      </c>
      <c r="D26" s="1253">
        <f>Basisgegevens!C218</f>
        <v>0</v>
      </c>
      <c r="E26" s="1259">
        <f>Basisgegevens!D218</f>
        <v>0</v>
      </c>
      <c r="F26" s="25">
        <f>SUM(D26:E26)</f>
        <v>0</v>
      </c>
      <c r="G26" s="280">
        <f>C26*F26</f>
        <v>0</v>
      </c>
      <c r="H26" s="1253">
        <f>Basisgegevens!F218</f>
        <v>0</v>
      </c>
      <c r="I26" s="1254">
        <f>IF(H26=0,0,($F$21/H$29)*H26)</f>
        <v>0</v>
      </c>
      <c r="L26" s="179" t="s">
        <v>359</v>
      </c>
      <c r="M26" s="1267" t="s">
        <v>143</v>
      </c>
      <c r="N26" s="24">
        <v>1000</v>
      </c>
      <c r="O26" s="23">
        <v>1250</v>
      </c>
      <c r="P26" s="23">
        <v>1500</v>
      </c>
      <c r="Q26" s="23">
        <v>1750</v>
      </c>
      <c r="R26" s="23">
        <v>2000</v>
      </c>
      <c r="S26" s="23">
        <v>2500</v>
      </c>
      <c r="T26" s="23">
        <v>3000</v>
      </c>
      <c r="U26" s="23">
        <v>3500</v>
      </c>
      <c r="V26" s="23">
        <v>4000</v>
      </c>
      <c r="W26" s="23">
        <v>4500</v>
      </c>
      <c r="X26" s="23">
        <v>5000</v>
      </c>
      <c r="Y26" s="23">
        <v>5500</v>
      </c>
      <c r="Z26" s="11">
        <v>6000</v>
      </c>
    </row>
    <row r="27" spans="2:26" ht="14.4" customHeight="1" x14ac:dyDescent="0.3">
      <c r="B27" s="487" t="s">
        <v>137</v>
      </c>
      <c r="C27" s="489">
        <v>2</v>
      </c>
      <c r="D27" s="1255">
        <f>Basisgegevens!C219</f>
        <v>0</v>
      </c>
      <c r="E27" s="1260">
        <f>Basisgegevens!D219</f>
        <v>0</v>
      </c>
      <c r="F27" s="26">
        <f>SUM(D27:E27)</f>
        <v>0</v>
      </c>
      <c r="G27" s="281">
        <f>C27*F27</f>
        <v>0</v>
      </c>
      <c r="H27" s="1255">
        <f>Basisgegevens!F219</f>
        <v>0</v>
      </c>
      <c r="I27" s="1256">
        <f>IF(H27=0,0,($F$21/H$29)*H27)</f>
        <v>0</v>
      </c>
      <c r="L27" s="311" t="s">
        <v>357</v>
      </c>
      <c r="M27" s="1268">
        <v>16</v>
      </c>
      <c r="N27" s="20">
        <v>160</v>
      </c>
      <c r="O27" s="10">
        <v>245</v>
      </c>
      <c r="P27" s="10">
        <v>335</v>
      </c>
      <c r="Q27" s="10">
        <v>420</v>
      </c>
      <c r="R27" s="10">
        <v>510</v>
      </c>
      <c r="S27" s="10">
        <v>685</v>
      </c>
      <c r="T27" s="10">
        <v>860</v>
      </c>
      <c r="U27" s="10">
        <v>1035</v>
      </c>
      <c r="V27" s="10">
        <v>1210</v>
      </c>
      <c r="W27" s="10">
        <v>1385</v>
      </c>
      <c r="X27" s="10">
        <v>1560</v>
      </c>
      <c r="Y27" s="10">
        <v>1735</v>
      </c>
      <c r="Z27" s="21">
        <v>1910</v>
      </c>
    </row>
    <row r="28" spans="2:26" ht="14.4" customHeight="1" thickBot="1" x14ac:dyDescent="0.35">
      <c r="B28" s="488" t="s">
        <v>138</v>
      </c>
      <c r="C28" s="490">
        <v>0</v>
      </c>
      <c r="D28" s="1261">
        <f>Basisgegevens!C220</f>
        <v>0</v>
      </c>
      <c r="E28" s="1262">
        <f>Basisgegevens!D220</f>
        <v>0</v>
      </c>
      <c r="F28" s="27">
        <f>SUM(D28:E28)</f>
        <v>0</v>
      </c>
      <c r="G28" s="282">
        <f>C28*F28</f>
        <v>0</v>
      </c>
      <c r="H28" s="1257">
        <f>Basisgegevens!F220</f>
        <v>0</v>
      </c>
      <c r="I28" s="1258">
        <f>IF(H28=0,0,($F$21/H$29)*H28)</f>
        <v>0</v>
      </c>
      <c r="L28" s="300" t="s">
        <v>358</v>
      </c>
      <c r="M28" s="1269">
        <v>14</v>
      </c>
      <c r="N28" s="15">
        <v>150</v>
      </c>
      <c r="O28" s="9">
        <v>235</v>
      </c>
      <c r="P28" s="9">
        <v>325</v>
      </c>
      <c r="Q28" s="9">
        <v>410</v>
      </c>
      <c r="R28" s="9">
        <v>500</v>
      </c>
      <c r="S28" s="9">
        <v>675</v>
      </c>
      <c r="T28" s="9">
        <v>850</v>
      </c>
      <c r="U28" s="9">
        <v>1025</v>
      </c>
      <c r="V28" s="9">
        <v>1200</v>
      </c>
      <c r="W28" s="9">
        <v>1375</v>
      </c>
      <c r="X28" s="9">
        <v>1550</v>
      </c>
      <c r="Y28" s="9">
        <v>1725</v>
      </c>
      <c r="Z28" s="16">
        <v>1900</v>
      </c>
    </row>
    <row r="29" spans="2:26" ht="14.4" customHeight="1" thickBot="1" x14ac:dyDescent="0.35">
      <c r="C29" s="491" t="s">
        <v>199</v>
      </c>
      <c r="D29" s="283">
        <f t="shared" ref="D29:I29" si="0">SUM(D26:D28)</f>
        <v>0</v>
      </c>
      <c r="E29" s="323">
        <f t="shared" si="0"/>
        <v>0</v>
      </c>
      <c r="F29" s="323">
        <f t="shared" si="0"/>
        <v>0</v>
      </c>
      <c r="G29" s="283">
        <f t="shared" si="0"/>
        <v>0</v>
      </c>
      <c r="H29" s="283">
        <f t="shared" si="0"/>
        <v>0</v>
      </c>
      <c r="I29" s="284">
        <f t="shared" si="0"/>
        <v>0</v>
      </c>
      <c r="L29" s="300" t="s">
        <v>351</v>
      </c>
      <c r="M29" s="1269">
        <v>12</v>
      </c>
      <c r="N29" s="15">
        <v>140</v>
      </c>
      <c r="O29" s="9">
        <v>225</v>
      </c>
      <c r="P29" s="9">
        <v>315</v>
      </c>
      <c r="Q29" s="9">
        <v>400</v>
      </c>
      <c r="R29" s="9">
        <v>490</v>
      </c>
      <c r="S29" s="9">
        <v>665</v>
      </c>
      <c r="T29" s="9">
        <v>840</v>
      </c>
      <c r="U29" s="9">
        <v>1015</v>
      </c>
      <c r="V29" s="9">
        <v>1190</v>
      </c>
      <c r="W29" s="9">
        <v>1365</v>
      </c>
      <c r="X29" s="9">
        <v>1540</v>
      </c>
      <c r="Y29" s="9">
        <v>1715</v>
      </c>
      <c r="Z29" s="16">
        <v>1890</v>
      </c>
    </row>
    <row r="30" spans="2:26" ht="14.4" customHeight="1" x14ac:dyDescent="0.3">
      <c r="D30" s="2437" t="str">
        <f>IF(H29=1,CONCATENATE("----&gt; Gebruik: ",$M$1),IF(H29=2,CONCATENATE("----&gt; Gebruik: ",$M$7),IF(H29=3,CONCATENATE("----&gt; Gebruik: ",$M$15),IF(H29=4,CONCATENATE("----&gt; Gebruik: ",$M$25),IF(H29&gt;4,"----&gt; Teveel kinderen, er wordt alleen met de oudste 4 kinderen gerekend ","--")))))</f>
        <v>--</v>
      </c>
      <c r="E30" s="2438"/>
      <c r="F30" s="2438"/>
      <c r="G30" s="2438"/>
      <c r="H30" s="2438"/>
      <c r="I30" s="2438"/>
      <c r="L30" s="300" t="s">
        <v>352</v>
      </c>
      <c r="M30" s="1269">
        <v>10</v>
      </c>
      <c r="N30" s="15">
        <v>130</v>
      </c>
      <c r="O30" s="9">
        <v>215</v>
      </c>
      <c r="P30" s="9">
        <v>305</v>
      </c>
      <c r="Q30" s="9">
        <v>390</v>
      </c>
      <c r="R30" s="9">
        <v>480</v>
      </c>
      <c r="S30" s="9">
        <v>655</v>
      </c>
      <c r="T30" s="9">
        <v>830</v>
      </c>
      <c r="U30" s="9">
        <v>1005</v>
      </c>
      <c r="V30" s="9">
        <v>1180</v>
      </c>
      <c r="W30" s="9">
        <v>1355</v>
      </c>
      <c r="X30" s="9">
        <v>1530</v>
      </c>
      <c r="Y30" s="9">
        <v>1705</v>
      </c>
      <c r="Z30" s="16">
        <v>1880</v>
      </c>
    </row>
    <row r="31" spans="2:26" ht="14.4" customHeight="1" x14ac:dyDescent="0.3">
      <c r="D31" s="2417" t="str">
        <f>IF(F29&gt;4,"----&gt; Teveel kinderen, er wordt alleen met de oudste 4 kinderen gerekend ","")</f>
        <v/>
      </c>
      <c r="E31" s="2417"/>
      <c r="F31" s="2417"/>
      <c r="G31" s="2417"/>
      <c r="H31" s="2417"/>
      <c r="I31" s="2417"/>
      <c r="L31" s="300" t="s">
        <v>353</v>
      </c>
      <c r="M31" s="1269">
        <v>8</v>
      </c>
      <c r="N31" s="15">
        <v>120</v>
      </c>
      <c r="O31" s="9">
        <v>205</v>
      </c>
      <c r="P31" s="9">
        <v>295</v>
      </c>
      <c r="Q31" s="9">
        <v>380</v>
      </c>
      <c r="R31" s="9">
        <v>470</v>
      </c>
      <c r="S31" s="9">
        <v>645</v>
      </c>
      <c r="T31" s="9">
        <v>820</v>
      </c>
      <c r="U31" s="9">
        <v>995</v>
      </c>
      <c r="V31" s="9">
        <v>1170</v>
      </c>
      <c r="W31" s="9">
        <v>1345</v>
      </c>
      <c r="X31" s="9">
        <v>1520</v>
      </c>
      <c r="Y31" s="9">
        <v>1695</v>
      </c>
      <c r="Z31" s="16">
        <v>1870</v>
      </c>
    </row>
    <row r="32" spans="2:26" ht="14.4" customHeight="1" thickBot="1" x14ac:dyDescent="0.35">
      <c r="L32" s="300" t="s">
        <v>354</v>
      </c>
      <c r="M32" s="1269">
        <v>6</v>
      </c>
      <c r="N32" s="15">
        <v>110</v>
      </c>
      <c r="O32" s="9">
        <v>195</v>
      </c>
      <c r="P32" s="9">
        <v>285</v>
      </c>
      <c r="Q32" s="9">
        <v>370</v>
      </c>
      <c r="R32" s="9">
        <v>460</v>
      </c>
      <c r="S32" s="9">
        <v>635</v>
      </c>
      <c r="T32" s="9">
        <v>810</v>
      </c>
      <c r="U32" s="642">
        <v>985</v>
      </c>
      <c r="V32" s="9">
        <v>1160</v>
      </c>
      <c r="W32" s="9">
        <v>1335</v>
      </c>
      <c r="X32" s="9">
        <v>1510</v>
      </c>
      <c r="Y32" s="9">
        <v>1685</v>
      </c>
      <c r="Z32" s="16">
        <v>1860</v>
      </c>
    </row>
    <row r="33" spans="1:29" ht="14.4" customHeight="1" x14ac:dyDescent="0.3">
      <c r="D33" s="2384" t="s">
        <v>740</v>
      </c>
      <c r="L33" s="300" t="s">
        <v>355</v>
      </c>
      <c r="M33" s="1269">
        <v>4</v>
      </c>
      <c r="N33" s="15">
        <v>100</v>
      </c>
      <c r="O33" s="9">
        <v>185</v>
      </c>
      <c r="P33" s="9">
        <v>275</v>
      </c>
      <c r="Q33" s="9">
        <v>360</v>
      </c>
      <c r="R33" s="9">
        <v>450</v>
      </c>
      <c r="S33" s="9">
        <v>625</v>
      </c>
      <c r="T33" s="9">
        <v>800</v>
      </c>
      <c r="U33" s="9">
        <v>975</v>
      </c>
      <c r="V33" s="9">
        <v>1150</v>
      </c>
      <c r="W33" s="9">
        <v>1325</v>
      </c>
      <c r="X33" s="9">
        <v>1500</v>
      </c>
      <c r="Y33" s="9">
        <v>1675</v>
      </c>
      <c r="Z33" s="16">
        <v>1850</v>
      </c>
    </row>
    <row r="34" spans="1:29" ht="14.4" customHeight="1" thickBot="1" x14ac:dyDescent="0.35">
      <c r="B34" s="4" t="s">
        <v>484</v>
      </c>
      <c r="D34" s="2385"/>
      <c r="L34" s="300" t="s">
        <v>356</v>
      </c>
      <c r="M34" s="1269">
        <v>2</v>
      </c>
      <c r="N34" s="15">
        <v>90</v>
      </c>
      <c r="O34" s="9">
        <v>175</v>
      </c>
      <c r="P34" s="9">
        <v>265</v>
      </c>
      <c r="Q34" s="9">
        <v>350</v>
      </c>
      <c r="R34" s="9">
        <v>440</v>
      </c>
      <c r="S34" s="9">
        <v>615</v>
      </c>
      <c r="T34" s="9">
        <v>790</v>
      </c>
      <c r="U34" s="9">
        <v>965</v>
      </c>
      <c r="V34" s="9">
        <v>1140</v>
      </c>
      <c r="W34" s="9">
        <v>1315</v>
      </c>
      <c r="X34" s="9">
        <v>1490</v>
      </c>
      <c r="Y34" s="9">
        <v>1665</v>
      </c>
      <c r="Z34" s="16">
        <v>1840</v>
      </c>
    </row>
    <row r="35" spans="1:29" ht="14.4" customHeight="1" thickBot="1" x14ac:dyDescent="0.35">
      <c r="B35" s="313"/>
      <c r="C35" s="557" t="s">
        <v>87</v>
      </c>
      <c r="D35" s="2386"/>
      <c r="L35" s="304" t="s">
        <v>350</v>
      </c>
      <c r="M35" s="1270">
        <v>0</v>
      </c>
      <c r="N35" s="17">
        <v>80</v>
      </c>
      <c r="O35" s="18">
        <v>165</v>
      </c>
      <c r="P35" s="18">
        <v>255</v>
      </c>
      <c r="Q35" s="18">
        <v>340</v>
      </c>
      <c r="R35" s="18">
        <v>430</v>
      </c>
      <c r="S35" s="18">
        <v>605</v>
      </c>
      <c r="T35" s="18">
        <v>780</v>
      </c>
      <c r="U35" s="18">
        <v>955</v>
      </c>
      <c r="V35" s="18">
        <v>1130</v>
      </c>
      <c r="W35" s="18">
        <v>1305</v>
      </c>
      <c r="X35" s="18">
        <v>1480</v>
      </c>
      <c r="Y35" s="18">
        <v>1655</v>
      </c>
      <c r="Z35" s="19">
        <v>1830</v>
      </c>
    </row>
    <row r="36" spans="1:29" ht="14.4" customHeight="1" x14ac:dyDescent="0.3">
      <c r="B36" s="643" t="str">
        <f>Basisgegevens!$C$4</f>
        <v>AP</v>
      </c>
      <c r="C36" s="1251">
        <f>'Alimentatie 2019-2 (Juli)'!F$236</f>
        <v>0</v>
      </c>
      <c r="D36" s="1250">
        <f>IF(C36&lt;0.01,0,(C36/C$38)*$F$21)</f>
        <v>0</v>
      </c>
      <c r="L36" s="349"/>
      <c r="M36" s="350"/>
      <c r="N36" s="350"/>
      <c r="O36" s="350"/>
      <c r="P36" s="350"/>
      <c r="Q36" s="350"/>
      <c r="R36" s="350"/>
      <c r="S36" s="350"/>
      <c r="T36" s="350"/>
      <c r="U36" s="350"/>
      <c r="V36" s="350"/>
      <c r="W36" s="350"/>
      <c r="X36" s="350"/>
      <c r="Y36" s="350"/>
      <c r="Z36" s="350"/>
    </row>
    <row r="37" spans="1:29" ht="14.4" customHeight="1" thickBot="1" x14ac:dyDescent="0.35">
      <c r="B37" s="644" t="str">
        <f>Basisgegevens!$D$4</f>
        <v>AG</v>
      </c>
      <c r="C37" s="1252">
        <f>'Alimentatie 2019-2 (Juli)'!H$236</f>
        <v>0</v>
      </c>
      <c r="D37" s="1263">
        <f>IF(C37&lt;0.01,0,(C37/C$38)*$F$21)</f>
        <v>0</v>
      </c>
      <c r="E37" s="1264"/>
    </row>
    <row r="38" spans="1:29" ht="14.4" customHeight="1" thickBot="1" x14ac:dyDescent="0.35">
      <c r="B38" s="645" t="s">
        <v>527</v>
      </c>
      <c r="C38" s="1247">
        <f>SUM(C36:C37)</f>
        <v>0</v>
      </c>
      <c r="D38" s="649">
        <f>SUM(D36:D37)</f>
        <v>0</v>
      </c>
    </row>
    <row r="39" spans="1:29" ht="14.4" customHeight="1" thickBot="1" x14ac:dyDescent="0.35">
      <c r="B39" s="650" t="s">
        <v>577</v>
      </c>
      <c r="C39" s="1250">
        <f>F21</f>
        <v>0.01</v>
      </c>
    </row>
    <row r="40" spans="1:29" ht="14.4" customHeight="1" thickBot="1" x14ac:dyDescent="0.35">
      <c r="B40" s="646" t="str">
        <f>IF(C40&lt;0,"TEKORT","Over")</f>
        <v>TEKORT</v>
      </c>
      <c r="C40" s="327">
        <f>C38-C39</f>
        <v>-0.01</v>
      </c>
      <c r="D40" s="1265"/>
      <c r="E40" s="391" t="s">
        <v>529</v>
      </c>
    </row>
    <row r="41" spans="1:29" ht="14.4" customHeight="1" thickBot="1" x14ac:dyDescent="0.35">
      <c r="B41" s="647" t="s">
        <v>528</v>
      </c>
      <c r="C41" s="1248">
        <f>IF(C40&lt;0,(C40*D41)*-1,0)</f>
        <v>5.0000000000000001E-3</v>
      </c>
      <c r="D41" s="1266">
        <v>0.5</v>
      </c>
      <c r="M41" s="293"/>
      <c r="N41" s="293"/>
      <c r="O41" s="293"/>
      <c r="P41" s="293"/>
      <c r="Q41" s="293"/>
      <c r="R41" s="293"/>
      <c r="S41" s="293"/>
      <c r="T41" s="293"/>
    </row>
    <row r="42" spans="1:29" ht="14.4" customHeight="1" thickBot="1" x14ac:dyDescent="0.35">
      <c r="B42" s="648" t="s">
        <v>530</v>
      </c>
      <c r="C42" s="1249">
        <f>IF(C38&lt;0.01,0,IF(C40&lt;0,(C41/K59),0))</f>
        <v>0</v>
      </c>
      <c r="M42" s="2394" t="str">
        <f>Basisgegevens!$C$4</f>
        <v>AP</v>
      </c>
      <c r="N42" s="2395"/>
      <c r="O42" s="2396"/>
      <c r="P42" s="2397"/>
      <c r="Q42" s="2394" t="str">
        <f>Basisgegevens!$D$4</f>
        <v>AG</v>
      </c>
      <c r="R42" s="2395"/>
      <c r="S42" s="2396"/>
      <c r="T42" s="2397"/>
    </row>
    <row r="43" spans="1:29" ht="14.4" customHeight="1" x14ac:dyDescent="0.3">
      <c r="F43" s="2418" t="s">
        <v>755</v>
      </c>
      <c r="G43" s="2398" t="s">
        <v>475</v>
      </c>
      <c r="H43" s="1972" t="s">
        <v>474</v>
      </c>
      <c r="I43" s="603"/>
      <c r="J43" s="2374" t="s">
        <v>478</v>
      </c>
      <c r="K43" s="1972" t="s">
        <v>485</v>
      </c>
      <c r="L43" s="2374" t="s">
        <v>531</v>
      </c>
      <c r="M43" s="2402" t="s">
        <v>532</v>
      </c>
      <c r="N43" s="2406" t="s">
        <v>576</v>
      </c>
      <c r="O43" s="2390" t="s">
        <v>573</v>
      </c>
      <c r="P43" s="2410" t="s">
        <v>762</v>
      </c>
      <c r="Q43" s="2402" t="s">
        <v>532</v>
      </c>
      <c r="R43" s="2406" t="s">
        <v>576</v>
      </c>
      <c r="S43" s="2390" t="s">
        <v>573</v>
      </c>
      <c r="T43" s="2398" t="s">
        <v>762</v>
      </c>
    </row>
    <row r="44" spans="1:29" ht="14.4" customHeight="1" x14ac:dyDescent="0.3">
      <c r="F44" s="2419"/>
      <c r="G44" s="2399"/>
      <c r="H44" s="2371"/>
      <c r="I44" s="603"/>
      <c r="J44" s="2375"/>
      <c r="K44" s="2371"/>
      <c r="L44" s="2375"/>
      <c r="M44" s="2403"/>
      <c r="N44" s="2407"/>
      <c r="O44" s="2391"/>
      <c r="P44" s="2411"/>
      <c r="Q44" s="2403"/>
      <c r="R44" s="2407"/>
      <c r="S44" s="2391"/>
      <c r="T44" s="2399"/>
    </row>
    <row r="45" spans="1:29" ht="14.4" customHeight="1" thickBot="1" x14ac:dyDescent="0.35">
      <c r="F45" s="2420"/>
      <c r="G45" s="2422"/>
      <c r="H45" s="2424"/>
      <c r="I45" s="603"/>
      <c r="J45" s="2376"/>
      <c r="K45" s="2372"/>
      <c r="L45" s="2376"/>
      <c r="M45" s="2404"/>
      <c r="N45" s="2408"/>
      <c r="O45" s="2392"/>
      <c r="P45" s="2412"/>
      <c r="Q45" s="2404"/>
      <c r="R45" s="2408"/>
      <c r="S45" s="2392"/>
      <c r="T45" s="2400"/>
    </row>
    <row r="46" spans="1:29" ht="14.4" customHeight="1" thickBot="1" x14ac:dyDescent="0.35">
      <c r="A46" s="319" t="s">
        <v>415</v>
      </c>
      <c r="B46" s="500" t="s">
        <v>471</v>
      </c>
      <c r="C46" s="400" t="s">
        <v>458</v>
      </c>
      <c r="D46" s="400" t="s">
        <v>472</v>
      </c>
      <c r="E46" s="1296" t="s">
        <v>473</v>
      </c>
      <c r="F46" s="2421"/>
      <c r="G46" s="2423"/>
      <c r="H46" s="2424"/>
      <c r="I46" s="1181" t="s">
        <v>476</v>
      </c>
      <c r="J46" s="2377"/>
      <c r="K46" s="2373"/>
      <c r="L46" s="2377"/>
      <c r="M46" s="2405"/>
      <c r="N46" s="2409"/>
      <c r="O46" s="2393"/>
      <c r="P46" s="2413"/>
      <c r="Q46" s="2405"/>
      <c r="R46" s="2409"/>
      <c r="S46" s="2393"/>
      <c r="T46" s="2401"/>
      <c r="U46" s="2359" t="s">
        <v>574</v>
      </c>
      <c r="V46" s="2360"/>
      <c r="W46" s="2360"/>
      <c r="X46" s="2360"/>
      <c r="Y46" s="2360"/>
      <c r="Z46" s="2360"/>
      <c r="AA46" s="2360"/>
      <c r="AB46" s="2360"/>
      <c r="AC46" s="2361"/>
    </row>
    <row r="47" spans="1:29" ht="14.4" customHeight="1" x14ac:dyDescent="0.3">
      <c r="A47" s="506">
        <v>1</v>
      </c>
      <c r="B47" s="501" t="str">
        <f>IF(Basisgegevens!B201="","--",Basisgegevens!B201)</f>
        <v>--</v>
      </c>
      <c r="C47" s="402" t="str">
        <f>IF(Basisgegevens!E201="","--",Basisgegevens!E201)</f>
        <v>--</v>
      </c>
      <c r="D47" s="403" t="str">
        <f>IF(Basisgegevens!H201="","--",Basisgegevens!H201)</f>
        <v>--</v>
      </c>
      <c r="E47" s="1297" t="str">
        <f t="shared" ref="E47:E58" si="1">IF(D47&gt;17,"n.v.t",IF(AND(D47&gt;=12,D47&lt;=17),$C$28,IF(AND(D47&gt;=6,D47&lt;=11),$C$27,IF(AND(D47&gt;=0,D47&lt;=5),$C$26,"--"))))</f>
        <v>n.v.t</v>
      </c>
      <c r="F47" s="1301" t="str">
        <f t="shared" ref="F47:F58" si="2">IF(E47="n.v.t","n.v.t",$F$21/F$29)</f>
        <v>n.v.t</v>
      </c>
      <c r="G47" s="1302" t="str">
        <f>IF(E47="n.v.t","n.v.t",Basisgegevens!F201)</f>
        <v>n.v.t</v>
      </c>
      <c r="H47" s="1292">
        <f>IF(E47="n.v.t",0,F47+G47)</f>
        <v>0</v>
      </c>
      <c r="I47" s="1289" t="str">
        <f>IF(Basisgegevens!C201=1,Basisgegevens!$C$4,IF(Basisgegevens!D201=1,Basisgegevens!$D$4,"--"))</f>
        <v>--</v>
      </c>
      <c r="J47" s="495">
        <f>Basisgegevens!G201</f>
        <v>0.15</v>
      </c>
      <c r="K47" s="496">
        <f>IF(E47="n.v.t",0,F47*J47)</f>
        <v>0</v>
      </c>
      <c r="L47" s="398">
        <f>IF($E47="n.v.t",0,IF(K47-(K47*$C$42)&lt;0.01,0,K47-(K47*$C$42)))</f>
        <v>0</v>
      </c>
      <c r="M47" s="1539">
        <f>IF($E47="n.v.t",0,IF($C$40&gt;0,($C$36/$C$38)*$H47,($C$36/$C$38)*$H47*($C$38/$F$21)))</f>
        <v>0</v>
      </c>
      <c r="N47" s="497">
        <f>IF($E47="n.v.t",0,IF(M$42=$I47,IF(AND(Q47=0,R47&lt;0),L47,IF(AND(Q47&gt;0,R47&lt;0),L47-Q47,0)),M47-$L47))</f>
        <v>0</v>
      </c>
      <c r="O47" s="498">
        <f>IF($E47="n.v.t",0,IF(M$42=$I47,0,IF(N47&lt;0,K47+N47,K47)))</f>
        <v>0</v>
      </c>
      <c r="P47" s="499">
        <f>IF($E47="n.v.t",0,IF(M$42=$I47,IF(OR(AND(Q47=0,R47&lt;0),AND(Q47&gt;0,R47&lt;0)),H47-K47,H47-K47-R47),0))</f>
        <v>0</v>
      </c>
      <c r="Q47" s="1539">
        <f>IF($E47="n.v.t",0,IF($C$40&gt;0,($C$37/$C$38)*$H47,($C$37/$C$38)*$H47*($C$38/$F$21)))</f>
        <v>0</v>
      </c>
      <c r="R47" s="497">
        <f>IF($E47="n.v.t",0,IF(Q$42=$I47,IF(AND(M47=0,N47&lt;0),L47,IF(AND(M47&gt;0,N47&lt;0),L47-Q47,0)),Q47-$L47))</f>
        <v>0</v>
      </c>
      <c r="S47" s="498">
        <f>IF($E47="n.v.t",0,IF(Q$42=$I47,0,IF(R47&lt;0,K47+R47,K47)))</f>
        <v>0</v>
      </c>
      <c r="T47" s="499">
        <f>IF($E47="n.v.t",0,IF(Q$42=$I47,IF(OR(AND(M47=0,N47&lt;0),AND(M47&gt;0,N47&lt;0)),H47-K47,H47-K47-N47),0))</f>
        <v>0</v>
      </c>
      <c r="U47" s="2362" t="str">
        <f t="shared" ref="U47:U58" si="3">IF(E47="n.v.t","--",IF(N47&lt;0,CONCATENATE("Negatieve zorgkorting bij ",$M$42,", deze toewijzen aan ",$Q$42),IF(R47&lt;0,CONCATENATE("Negatieve zorgkorting bij ",$Q$42,", deze toewijzen aan ",$M$42),"--")))</f>
        <v>--</v>
      </c>
      <c r="V47" s="2363"/>
      <c r="W47" s="2363"/>
      <c r="X47" s="2363"/>
      <c r="Y47" s="2363"/>
      <c r="Z47" s="2363"/>
      <c r="AA47" s="2363"/>
      <c r="AB47" s="2363"/>
      <c r="AC47" s="2364"/>
    </row>
    <row r="48" spans="1:29" ht="14.4" customHeight="1" x14ac:dyDescent="0.3">
      <c r="A48" s="489">
        <v>2</v>
      </c>
      <c r="B48" s="502" t="str">
        <f>IF(Basisgegevens!B202="","--",Basisgegevens!B202)</f>
        <v>--</v>
      </c>
      <c r="C48" s="337" t="str">
        <f>IF(Basisgegevens!E202="","--",Basisgegevens!E202)</f>
        <v>--</v>
      </c>
      <c r="D48" s="338" t="str">
        <f>IF(Basisgegevens!H202="","--",Basisgegevens!H202)</f>
        <v>--</v>
      </c>
      <c r="E48" s="1298" t="str">
        <f t="shared" si="1"/>
        <v>n.v.t</v>
      </c>
      <c r="F48" s="1303" t="str">
        <f t="shared" si="2"/>
        <v>n.v.t</v>
      </c>
      <c r="G48" s="1304" t="str">
        <f>IF(E48="n.v.t","n.v.t",Basisgegevens!F202)</f>
        <v>n.v.t</v>
      </c>
      <c r="H48" s="1293">
        <f t="shared" ref="H48:H58" si="4">IF(E48="n.v.t",0,F48+G48)</f>
        <v>0</v>
      </c>
      <c r="I48" s="1290" t="str">
        <f>IF(Basisgegevens!C202=1,Basisgegevens!$C$4,IF(Basisgegevens!D202=1,Basisgegevens!$D$4,"--"))</f>
        <v>--</v>
      </c>
      <c r="J48" s="393">
        <f>Basisgegevens!G202</f>
        <v>0.15</v>
      </c>
      <c r="K48" s="395">
        <f t="shared" ref="K48:K58" si="5">IF(E48="n.v.t",0,F48*J48)</f>
        <v>0</v>
      </c>
      <c r="L48" s="398">
        <f t="shared" ref="L48:L58" si="6">IF($E48="n.v.t",0,IF(K48-(K48*$C$42)&lt;0.01,0,K48-(K48*$C$42)))</f>
        <v>0</v>
      </c>
      <c r="M48" s="1540">
        <f t="shared" ref="M48:M58" si="7">IF($E48="n.v.t",0,IF($C$40&gt;0,($C$36/$C$38)*$H48,($C$36/$C$38)*$H48*($C$38/$F$21)))</f>
        <v>0</v>
      </c>
      <c r="N48" s="409">
        <f t="shared" ref="N48:N58" si="8">IF($E48="n.v.t",0,IF(M$42=$I48,IF(AND(Q48=0,R48&lt;0),L48,IF(AND(Q48&gt;0,R48&lt;0),L48-Q48,0)),M48-$L48))</f>
        <v>0</v>
      </c>
      <c r="O48" s="410">
        <f t="shared" ref="O48:O58" si="9">IF($E48="n.v.t",0,IF(M$42=$I48,0,IF(N48&lt;0,K48+N48,K48)))</f>
        <v>0</v>
      </c>
      <c r="P48" s="411">
        <f t="shared" ref="P48:P58" si="10">IF($E48="n.v.t",0,IF(M$42=$I48,IF(OR(AND(Q48=0,R48&lt;0),AND(Q48&gt;0,R48&lt;0)),H48-K48,H48-K48-R48),0))</f>
        <v>0</v>
      </c>
      <c r="Q48" s="1540">
        <f t="shared" ref="Q48:Q58" si="11">IF($E48="n.v.t",0,IF($C$40&gt;0,($C$37/$C$38)*$H48,($C$37/$C$38)*$H48*($C$38/$F$21)))</f>
        <v>0</v>
      </c>
      <c r="R48" s="409">
        <f t="shared" ref="R48:R58" si="12">IF($E48="n.v.t",0,IF(Q$42=$I48,IF(AND(M48=0,N48&lt;0),L48,IF(AND(M48&gt;0,N48&lt;0),L48-Q48,0)),Q48-$L48))</f>
        <v>0</v>
      </c>
      <c r="S48" s="410">
        <f t="shared" ref="S48:S58" si="13">IF($E48="n.v.t",0,IF(Q$42=$I48,0,IF(R48&lt;0,K48+R48,K48)))</f>
        <v>0</v>
      </c>
      <c r="T48" s="411">
        <f t="shared" ref="T48:T58" si="14">IF($E48="n.v.t",0,IF(Q$42=$I48,IF(OR(AND(M48=0,N48&lt;0),AND(M48&gt;0,N48&lt;0)),H48-K48,H48-K48-N48),0))</f>
        <v>0</v>
      </c>
      <c r="U48" s="2353" t="str">
        <f t="shared" si="3"/>
        <v>--</v>
      </c>
      <c r="V48" s="2354"/>
      <c r="W48" s="2354"/>
      <c r="X48" s="2354"/>
      <c r="Y48" s="2354"/>
      <c r="Z48" s="2354"/>
      <c r="AA48" s="2354"/>
      <c r="AB48" s="2354"/>
      <c r="AC48" s="2355"/>
    </row>
    <row r="49" spans="1:29" ht="14.4" customHeight="1" x14ac:dyDescent="0.3">
      <c r="A49" s="489">
        <v>3</v>
      </c>
      <c r="B49" s="502" t="str">
        <f>IF(Basisgegevens!B203="","--",Basisgegevens!B203)</f>
        <v>--</v>
      </c>
      <c r="C49" s="337" t="str">
        <f>IF(Basisgegevens!E203="","--",Basisgegevens!E203)</f>
        <v>--</v>
      </c>
      <c r="D49" s="338" t="str">
        <f>IF(Basisgegevens!H203="","--",Basisgegevens!H203)</f>
        <v>--</v>
      </c>
      <c r="E49" s="1298" t="str">
        <f t="shared" si="1"/>
        <v>n.v.t</v>
      </c>
      <c r="F49" s="1303" t="str">
        <f t="shared" si="2"/>
        <v>n.v.t</v>
      </c>
      <c r="G49" s="1304" t="str">
        <f>IF(E49="n.v.t","n.v.t",Basisgegevens!F203)</f>
        <v>n.v.t</v>
      </c>
      <c r="H49" s="1293">
        <f t="shared" si="4"/>
        <v>0</v>
      </c>
      <c r="I49" s="1290" t="str">
        <f>IF(Basisgegevens!C203=1,Basisgegevens!$C$4,IF(Basisgegevens!D203=1,Basisgegevens!$D$4,"--"))</f>
        <v>--</v>
      </c>
      <c r="J49" s="393">
        <f>Basisgegevens!G203</f>
        <v>0.15</v>
      </c>
      <c r="K49" s="395">
        <f t="shared" si="5"/>
        <v>0</v>
      </c>
      <c r="L49" s="398">
        <f t="shared" si="6"/>
        <v>0</v>
      </c>
      <c r="M49" s="1540">
        <f t="shared" si="7"/>
        <v>0</v>
      </c>
      <c r="N49" s="409">
        <f t="shared" si="8"/>
        <v>0</v>
      </c>
      <c r="O49" s="410">
        <f t="shared" si="9"/>
        <v>0</v>
      </c>
      <c r="P49" s="411">
        <f t="shared" si="10"/>
        <v>0</v>
      </c>
      <c r="Q49" s="1540">
        <f t="shared" si="11"/>
        <v>0</v>
      </c>
      <c r="R49" s="409">
        <f t="shared" si="12"/>
        <v>0</v>
      </c>
      <c r="S49" s="410">
        <f t="shared" si="13"/>
        <v>0</v>
      </c>
      <c r="T49" s="411">
        <f t="shared" si="14"/>
        <v>0</v>
      </c>
      <c r="U49" s="2353" t="str">
        <f t="shared" si="3"/>
        <v>--</v>
      </c>
      <c r="V49" s="2354"/>
      <c r="W49" s="2354"/>
      <c r="X49" s="2354"/>
      <c r="Y49" s="2354"/>
      <c r="Z49" s="2354"/>
      <c r="AA49" s="2354"/>
      <c r="AB49" s="2354"/>
      <c r="AC49" s="2355"/>
    </row>
    <row r="50" spans="1:29" ht="14.4" customHeight="1" x14ac:dyDescent="0.3">
      <c r="A50" s="504">
        <v>4</v>
      </c>
      <c r="B50" s="502" t="str">
        <f>IF(Basisgegevens!B204="","--",Basisgegevens!B204)</f>
        <v>--</v>
      </c>
      <c r="C50" s="337" t="str">
        <f>IF(Basisgegevens!E204="","--",Basisgegevens!E204)</f>
        <v>--</v>
      </c>
      <c r="D50" s="338" t="str">
        <f>IF(Basisgegevens!H204="","--",Basisgegevens!H204)</f>
        <v>--</v>
      </c>
      <c r="E50" s="1298" t="str">
        <f t="shared" si="1"/>
        <v>n.v.t</v>
      </c>
      <c r="F50" s="1303" t="str">
        <f t="shared" si="2"/>
        <v>n.v.t</v>
      </c>
      <c r="G50" s="1304" t="str">
        <f>IF(E50="n.v.t","n.v.t",Basisgegevens!F204)</f>
        <v>n.v.t</v>
      </c>
      <c r="H50" s="1293">
        <f t="shared" si="4"/>
        <v>0</v>
      </c>
      <c r="I50" s="1290" t="str">
        <f>IF(Basisgegevens!C204=1,Basisgegevens!$C$4,IF(Basisgegevens!D204=1,Basisgegevens!$D$4,"--"))</f>
        <v>--</v>
      </c>
      <c r="J50" s="393">
        <f>Basisgegevens!G204</f>
        <v>0.15</v>
      </c>
      <c r="K50" s="395">
        <f t="shared" si="5"/>
        <v>0</v>
      </c>
      <c r="L50" s="398">
        <f t="shared" si="6"/>
        <v>0</v>
      </c>
      <c r="M50" s="1540">
        <f t="shared" si="7"/>
        <v>0</v>
      </c>
      <c r="N50" s="409">
        <f t="shared" si="8"/>
        <v>0</v>
      </c>
      <c r="O50" s="410">
        <f t="shared" si="9"/>
        <v>0</v>
      </c>
      <c r="P50" s="411">
        <f t="shared" si="10"/>
        <v>0</v>
      </c>
      <c r="Q50" s="1540">
        <f t="shared" si="11"/>
        <v>0</v>
      </c>
      <c r="R50" s="409">
        <f t="shared" si="12"/>
        <v>0</v>
      </c>
      <c r="S50" s="410">
        <f t="shared" si="13"/>
        <v>0</v>
      </c>
      <c r="T50" s="411">
        <f t="shared" si="14"/>
        <v>0</v>
      </c>
      <c r="U50" s="2353" t="str">
        <f t="shared" si="3"/>
        <v>--</v>
      </c>
      <c r="V50" s="2354"/>
      <c r="W50" s="2354"/>
      <c r="X50" s="2354"/>
      <c r="Y50" s="2354"/>
      <c r="Z50" s="2354"/>
      <c r="AA50" s="2354"/>
      <c r="AB50" s="2354"/>
      <c r="AC50" s="2355"/>
    </row>
    <row r="51" spans="1:29" ht="14.4" customHeight="1" x14ac:dyDescent="0.3">
      <c r="A51" s="504">
        <v>5</v>
      </c>
      <c r="B51" s="502" t="str">
        <f>IF(Basisgegevens!B205="","--",Basisgegevens!B205)</f>
        <v>--</v>
      </c>
      <c r="C51" s="337" t="str">
        <f>IF(Basisgegevens!E205="","--",Basisgegevens!E205)</f>
        <v>--</v>
      </c>
      <c r="D51" s="338" t="str">
        <f>IF(Basisgegevens!H205="","--",Basisgegevens!H205)</f>
        <v>--</v>
      </c>
      <c r="E51" s="1298" t="str">
        <f t="shared" si="1"/>
        <v>n.v.t</v>
      </c>
      <c r="F51" s="1303" t="str">
        <f t="shared" si="2"/>
        <v>n.v.t</v>
      </c>
      <c r="G51" s="1304" t="str">
        <f>IF(E51="n.v.t","n.v.t",Basisgegevens!F205)</f>
        <v>n.v.t</v>
      </c>
      <c r="H51" s="1293">
        <f t="shared" si="4"/>
        <v>0</v>
      </c>
      <c r="I51" s="1290" t="str">
        <f>IF(Basisgegevens!C205=1,Basisgegevens!$C$4,IF(Basisgegevens!D205=1,Basisgegevens!$D$4,"--"))</f>
        <v>--</v>
      </c>
      <c r="J51" s="393">
        <f>Basisgegevens!G205</f>
        <v>0.15</v>
      </c>
      <c r="K51" s="395">
        <f t="shared" si="5"/>
        <v>0</v>
      </c>
      <c r="L51" s="398">
        <f t="shared" si="6"/>
        <v>0</v>
      </c>
      <c r="M51" s="1540">
        <f t="shared" si="7"/>
        <v>0</v>
      </c>
      <c r="N51" s="409">
        <f t="shared" si="8"/>
        <v>0</v>
      </c>
      <c r="O51" s="410">
        <f t="shared" si="9"/>
        <v>0</v>
      </c>
      <c r="P51" s="411">
        <f t="shared" si="10"/>
        <v>0</v>
      </c>
      <c r="Q51" s="1540">
        <f t="shared" si="11"/>
        <v>0</v>
      </c>
      <c r="R51" s="409">
        <f t="shared" si="12"/>
        <v>0</v>
      </c>
      <c r="S51" s="410">
        <f t="shared" si="13"/>
        <v>0</v>
      </c>
      <c r="T51" s="411">
        <f t="shared" si="14"/>
        <v>0</v>
      </c>
      <c r="U51" s="2353" t="str">
        <f t="shared" si="3"/>
        <v>--</v>
      </c>
      <c r="V51" s="2354"/>
      <c r="W51" s="2354"/>
      <c r="X51" s="2354"/>
      <c r="Y51" s="2354"/>
      <c r="Z51" s="2354"/>
      <c r="AA51" s="2354"/>
      <c r="AB51" s="2354"/>
      <c r="AC51" s="2355"/>
    </row>
    <row r="52" spans="1:29" ht="14.4" customHeight="1" x14ac:dyDescent="0.3">
      <c r="A52" s="504">
        <v>6</v>
      </c>
      <c r="B52" s="502" t="str">
        <f>IF(Basisgegevens!B206="","--",Basisgegevens!B206)</f>
        <v>--</v>
      </c>
      <c r="C52" s="337" t="str">
        <f>IF(Basisgegevens!E206="","--",Basisgegevens!E206)</f>
        <v>--</v>
      </c>
      <c r="D52" s="338" t="str">
        <f>IF(Basisgegevens!H206="","--",Basisgegevens!H206)</f>
        <v>--</v>
      </c>
      <c r="E52" s="1298" t="str">
        <f t="shared" si="1"/>
        <v>n.v.t</v>
      </c>
      <c r="F52" s="1303" t="str">
        <f t="shared" si="2"/>
        <v>n.v.t</v>
      </c>
      <c r="G52" s="1304" t="str">
        <f>IF(E52="n.v.t","n.v.t",Basisgegevens!F206)</f>
        <v>n.v.t</v>
      </c>
      <c r="H52" s="1293">
        <f t="shared" si="4"/>
        <v>0</v>
      </c>
      <c r="I52" s="1290" t="str">
        <f>IF(Basisgegevens!C206=1,Basisgegevens!$C$4,IF(Basisgegevens!D206=1,Basisgegevens!$D$4,"--"))</f>
        <v>--</v>
      </c>
      <c r="J52" s="393">
        <f>Basisgegevens!G206</f>
        <v>0.15</v>
      </c>
      <c r="K52" s="395">
        <f t="shared" si="5"/>
        <v>0</v>
      </c>
      <c r="L52" s="398">
        <f t="shared" si="6"/>
        <v>0</v>
      </c>
      <c r="M52" s="395">
        <f t="shared" si="7"/>
        <v>0</v>
      </c>
      <c r="N52" s="409">
        <f t="shared" si="8"/>
        <v>0</v>
      </c>
      <c r="O52" s="410">
        <f t="shared" si="9"/>
        <v>0</v>
      </c>
      <c r="P52" s="411">
        <f t="shared" si="10"/>
        <v>0</v>
      </c>
      <c r="Q52" s="395">
        <f t="shared" si="11"/>
        <v>0</v>
      </c>
      <c r="R52" s="409">
        <f t="shared" si="12"/>
        <v>0</v>
      </c>
      <c r="S52" s="410">
        <f t="shared" si="13"/>
        <v>0</v>
      </c>
      <c r="T52" s="411">
        <f t="shared" si="14"/>
        <v>0</v>
      </c>
      <c r="U52" s="2353" t="str">
        <f t="shared" si="3"/>
        <v>--</v>
      </c>
      <c r="V52" s="2354"/>
      <c r="W52" s="2354"/>
      <c r="X52" s="2354"/>
      <c r="Y52" s="2354"/>
      <c r="Z52" s="2354"/>
      <c r="AA52" s="2354"/>
      <c r="AB52" s="2354"/>
      <c r="AC52" s="2355"/>
    </row>
    <row r="53" spans="1:29" ht="14.4" customHeight="1" x14ac:dyDescent="0.3">
      <c r="A53" s="504">
        <v>7</v>
      </c>
      <c r="B53" s="502" t="str">
        <f>IF(Basisgegevens!B207="","--",Basisgegevens!B207)</f>
        <v>--</v>
      </c>
      <c r="C53" s="337" t="str">
        <f>IF(Basisgegevens!E207="","--",Basisgegevens!E207)</f>
        <v>--</v>
      </c>
      <c r="D53" s="338" t="str">
        <f>IF(Basisgegevens!H207="","--",Basisgegevens!H207)</f>
        <v>--</v>
      </c>
      <c r="E53" s="1298" t="str">
        <f t="shared" si="1"/>
        <v>n.v.t</v>
      </c>
      <c r="F53" s="1303" t="str">
        <f t="shared" si="2"/>
        <v>n.v.t</v>
      </c>
      <c r="G53" s="1304" t="str">
        <f>IF(E53="n.v.t","n.v.t",Basisgegevens!F207)</f>
        <v>n.v.t</v>
      </c>
      <c r="H53" s="1293">
        <f t="shared" si="4"/>
        <v>0</v>
      </c>
      <c r="I53" s="1290" t="str">
        <f>IF(Basisgegevens!C207=1,Basisgegevens!$C$4,IF(Basisgegevens!D207=1,Basisgegevens!$D$4,"--"))</f>
        <v>--</v>
      </c>
      <c r="J53" s="393">
        <f>Basisgegevens!G207</f>
        <v>0.15</v>
      </c>
      <c r="K53" s="395">
        <f t="shared" si="5"/>
        <v>0</v>
      </c>
      <c r="L53" s="398">
        <f t="shared" si="6"/>
        <v>0</v>
      </c>
      <c r="M53" s="395">
        <f t="shared" si="7"/>
        <v>0</v>
      </c>
      <c r="N53" s="409">
        <f t="shared" si="8"/>
        <v>0</v>
      </c>
      <c r="O53" s="410">
        <f t="shared" si="9"/>
        <v>0</v>
      </c>
      <c r="P53" s="411">
        <f t="shared" si="10"/>
        <v>0</v>
      </c>
      <c r="Q53" s="395">
        <f t="shared" si="11"/>
        <v>0</v>
      </c>
      <c r="R53" s="409">
        <f t="shared" si="12"/>
        <v>0</v>
      </c>
      <c r="S53" s="410">
        <f t="shared" si="13"/>
        <v>0</v>
      </c>
      <c r="T53" s="411">
        <f t="shared" si="14"/>
        <v>0</v>
      </c>
      <c r="U53" s="2353" t="str">
        <f t="shared" si="3"/>
        <v>--</v>
      </c>
      <c r="V53" s="2354"/>
      <c r="W53" s="2354"/>
      <c r="X53" s="2354"/>
      <c r="Y53" s="2354"/>
      <c r="Z53" s="2354"/>
      <c r="AA53" s="2354"/>
      <c r="AB53" s="2354"/>
      <c r="AC53" s="2355"/>
    </row>
    <row r="54" spans="1:29" ht="14.4" customHeight="1" x14ac:dyDescent="0.3">
      <c r="A54" s="504">
        <v>8</v>
      </c>
      <c r="B54" s="502" t="str">
        <f>IF(Basisgegevens!B208="","--",Basisgegevens!B208)</f>
        <v>--</v>
      </c>
      <c r="C54" s="337" t="str">
        <f>IF(Basisgegevens!E208="","--",Basisgegevens!E208)</f>
        <v>--</v>
      </c>
      <c r="D54" s="338" t="str">
        <f>IF(Basisgegevens!H208="","--",Basisgegevens!H208)</f>
        <v>--</v>
      </c>
      <c r="E54" s="1298" t="str">
        <f t="shared" si="1"/>
        <v>n.v.t</v>
      </c>
      <c r="F54" s="1303" t="str">
        <f t="shared" si="2"/>
        <v>n.v.t</v>
      </c>
      <c r="G54" s="1304" t="str">
        <f>IF(E54="n.v.t","n.v.t",Basisgegevens!F208)</f>
        <v>n.v.t</v>
      </c>
      <c r="H54" s="1293">
        <f t="shared" si="4"/>
        <v>0</v>
      </c>
      <c r="I54" s="1290" t="str">
        <f>IF(Basisgegevens!C208=1,Basisgegevens!$C$4,IF(Basisgegevens!D208=1,Basisgegevens!$D$4,"--"))</f>
        <v>--</v>
      </c>
      <c r="J54" s="393">
        <f>Basisgegevens!G208</f>
        <v>0.15</v>
      </c>
      <c r="K54" s="395">
        <f t="shared" si="5"/>
        <v>0</v>
      </c>
      <c r="L54" s="398">
        <f t="shared" si="6"/>
        <v>0</v>
      </c>
      <c r="M54" s="395">
        <f t="shared" si="7"/>
        <v>0</v>
      </c>
      <c r="N54" s="409">
        <f t="shared" si="8"/>
        <v>0</v>
      </c>
      <c r="O54" s="410">
        <f t="shared" si="9"/>
        <v>0</v>
      </c>
      <c r="P54" s="411">
        <f t="shared" si="10"/>
        <v>0</v>
      </c>
      <c r="Q54" s="395">
        <f t="shared" si="11"/>
        <v>0</v>
      </c>
      <c r="R54" s="409">
        <f t="shared" si="12"/>
        <v>0</v>
      </c>
      <c r="S54" s="410">
        <f t="shared" si="13"/>
        <v>0</v>
      </c>
      <c r="T54" s="411">
        <f t="shared" si="14"/>
        <v>0</v>
      </c>
      <c r="U54" s="2353" t="str">
        <f t="shared" si="3"/>
        <v>--</v>
      </c>
      <c r="V54" s="2354"/>
      <c r="W54" s="2354"/>
      <c r="X54" s="2354"/>
      <c r="Y54" s="2354"/>
      <c r="Z54" s="2354"/>
      <c r="AA54" s="2354"/>
      <c r="AB54" s="2354"/>
      <c r="AC54" s="2355"/>
    </row>
    <row r="55" spans="1:29" ht="14.4" customHeight="1" x14ac:dyDescent="0.3">
      <c r="A55" s="504">
        <v>9</v>
      </c>
      <c r="B55" s="502" t="str">
        <f>IF(Basisgegevens!B209="","--",Basisgegevens!B209)</f>
        <v>--</v>
      </c>
      <c r="C55" s="337" t="str">
        <f>IF(Basisgegevens!E209="","--",Basisgegevens!E209)</f>
        <v>--</v>
      </c>
      <c r="D55" s="338" t="str">
        <f>IF(Basisgegevens!H209="","--",Basisgegevens!H209)</f>
        <v>--</v>
      </c>
      <c r="E55" s="1298" t="str">
        <f t="shared" si="1"/>
        <v>n.v.t</v>
      </c>
      <c r="F55" s="1303" t="str">
        <f t="shared" si="2"/>
        <v>n.v.t</v>
      </c>
      <c r="G55" s="1304" t="str">
        <f>IF(E55="n.v.t","n.v.t",Basisgegevens!F209)</f>
        <v>n.v.t</v>
      </c>
      <c r="H55" s="1293">
        <f t="shared" si="4"/>
        <v>0</v>
      </c>
      <c r="I55" s="1290" t="str">
        <f>IF(Basisgegevens!C209=1,Basisgegevens!$C$4,IF(Basisgegevens!D209=1,Basisgegevens!$D$4,"--"))</f>
        <v>--</v>
      </c>
      <c r="J55" s="393">
        <f>Basisgegevens!G209</f>
        <v>0.15</v>
      </c>
      <c r="K55" s="395">
        <f t="shared" si="5"/>
        <v>0</v>
      </c>
      <c r="L55" s="398">
        <f t="shared" si="6"/>
        <v>0</v>
      </c>
      <c r="M55" s="395">
        <f t="shared" si="7"/>
        <v>0</v>
      </c>
      <c r="N55" s="409">
        <f t="shared" si="8"/>
        <v>0</v>
      </c>
      <c r="O55" s="410">
        <f t="shared" si="9"/>
        <v>0</v>
      </c>
      <c r="P55" s="411">
        <f t="shared" si="10"/>
        <v>0</v>
      </c>
      <c r="Q55" s="395">
        <f t="shared" si="11"/>
        <v>0</v>
      </c>
      <c r="R55" s="409">
        <f t="shared" si="12"/>
        <v>0</v>
      </c>
      <c r="S55" s="410">
        <f t="shared" si="13"/>
        <v>0</v>
      </c>
      <c r="T55" s="411">
        <f t="shared" si="14"/>
        <v>0</v>
      </c>
      <c r="U55" s="2353" t="str">
        <f t="shared" si="3"/>
        <v>--</v>
      </c>
      <c r="V55" s="2354"/>
      <c r="W55" s="2354"/>
      <c r="X55" s="2354"/>
      <c r="Y55" s="2354"/>
      <c r="Z55" s="2354"/>
      <c r="AA55" s="2354"/>
      <c r="AB55" s="2354"/>
      <c r="AC55" s="2355"/>
    </row>
    <row r="56" spans="1:29" x14ac:dyDescent="0.3">
      <c r="A56" s="504">
        <v>10</v>
      </c>
      <c r="B56" s="502" t="str">
        <f>IF(Basisgegevens!B210="","--",Basisgegevens!B210)</f>
        <v>--</v>
      </c>
      <c r="C56" s="337" t="str">
        <f>IF(Basisgegevens!E210="","--",Basisgegevens!E210)</f>
        <v>--</v>
      </c>
      <c r="D56" s="338" t="str">
        <f>IF(Basisgegevens!H210="","--",Basisgegevens!H210)</f>
        <v>--</v>
      </c>
      <c r="E56" s="1298" t="str">
        <f t="shared" si="1"/>
        <v>n.v.t</v>
      </c>
      <c r="F56" s="1303" t="str">
        <f t="shared" si="2"/>
        <v>n.v.t</v>
      </c>
      <c r="G56" s="1304" t="str">
        <f>IF(E56="n.v.t","n.v.t",Basisgegevens!F210)</f>
        <v>n.v.t</v>
      </c>
      <c r="H56" s="1293">
        <f t="shared" si="4"/>
        <v>0</v>
      </c>
      <c r="I56" s="1290" t="str">
        <f>IF(Basisgegevens!C210=1,Basisgegevens!$C$4,IF(Basisgegevens!D210=1,Basisgegevens!$D$4,"--"))</f>
        <v>--</v>
      </c>
      <c r="J56" s="393">
        <f>Basisgegevens!G210</f>
        <v>0.15</v>
      </c>
      <c r="K56" s="395">
        <f t="shared" si="5"/>
        <v>0</v>
      </c>
      <c r="L56" s="398">
        <f t="shared" si="6"/>
        <v>0</v>
      </c>
      <c r="M56" s="395">
        <f t="shared" si="7"/>
        <v>0</v>
      </c>
      <c r="N56" s="409">
        <f t="shared" si="8"/>
        <v>0</v>
      </c>
      <c r="O56" s="410">
        <f t="shared" si="9"/>
        <v>0</v>
      </c>
      <c r="P56" s="411">
        <f t="shared" si="10"/>
        <v>0</v>
      </c>
      <c r="Q56" s="395">
        <f t="shared" si="11"/>
        <v>0</v>
      </c>
      <c r="R56" s="409">
        <f t="shared" si="12"/>
        <v>0</v>
      </c>
      <c r="S56" s="410">
        <f t="shared" si="13"/>
        <v>0</v>
      </c>
      <c r="T56" s="411">
        <f t="shared" si="14"/>
        <v>0</v>
      </c>
      <c r="U56" s="2353" t="str">
        <f t="shared" si="3"/>
        <v>--</v>
      </c>
      <c r="V56" s="2354"/>
      <c r="W56" s="2354"/>
      <c r="X56" s="2354"/>
      <c r="Y56" s="2354"/>
      <c r="Z56" s="2354"/>
      <c r="AA56" s="2354"/>
      <c r="AB56" s="2354"/>
      <c r="AC56" s="2355"/>
    </row>
    <row r="57" spans="1:29" x14ac:dyDescent="0.3">
      <c r="A57" s="504">
        <v>11</v>
      </c>
      <c r="B57" s="502" t="str">
        <f>IF(Basisgegevens!B211="","--",Basisgegevens!B211)</f>
        <v>--</v>
      </c>
      <c r="C57" s="337" t="str">
        <f>IF(Basisgegevens!E211="","--",Basisgegevens!E211)</f>
        <v>--</v>
      </c>
      <c r="D57" s="338" t="str">
        <f>IF(Basisgegevens!H211="","--",Basisgegevens!H211)</f>
        <v>--</v>
      </c>
      <c r="E57" s="1298" t="str">
        <f t="shared" si="1"/>
        <v>n.v.t</v>
      </c>
      <c r="F57" s="1303" t="str">
        <f t="shared" si="2"/>
        <v>n.v.t</v>
      </c>
      <c r="G57" s="1304" t="str">
        <f>IF(E57="n.v.t","n.v.t",Basisgegevens!F211)</f>
        <v>n.v.t</v>
      </c>
      <c r="H57" s="1293">
        <f t="shared" si="4"/>
        <v>0</v>
      </c>
      <c r="I57" s="1290" t="str">
        <f>IF(Basisgegevens!C211=1,Basisgegevens!$C$4,IF(Basisgegevens!D211=1,Basisgegevens!$D$4,"--"))</f>
        <v>--</v>
      </c>
      <c r="J57" s="393">
        <f>Basisgegevens!G211</f>
        <v>0.15</v>
      </c>
      <c r="K57" s="395">
        <f t="shared" si="5"/>
        <v>0</v>
      </c>
      <c r="L57" s="398">
        <f t="shared" si="6"/>
        <v>0</v>
      </c>
      <c r="M57" s="395">
        <f t="shared" si="7"/>
        <v>0</v>
      </c>
      <c r="N57" s="409">
        <f t="shared" si="8"/>
        <v>0</v>
      </c>
      <c r="O57" s="410">
        <f t="shared" si="9"/>
        <v>0</v>
      </c>
      <c r="P57" s="411">
        <f t="shared" si="10"/>
        <v>0</v>
      </c>
      <c r="Q57" s="395">
        <f t="shared" si="11"/>
        <v>0</v>
      </c>
      <c r="R57" s="409">
        <f t="shared" si="12"/>
        <v>0</v>
      </c>
      <c r="S57" s="410">
        <f t="shared" si="13"/>
        <v>0</v>
      </c>
      <c r="T57" s="411">
        <f t="shared" si="14"/>
        <v>0</v>
      </c>
      <c r="U57" s="2353" t="str">
        <f t="shared" si="3"/>
        <v>--</v>
      </c>
      <c r="V57" s="2354"/>
      <c r="W57" s="2354"/>
      <c r="X57" s="2354"/>
      <c r="Y57" s="2354"/>
      <c r="Z57" s="2354"/>
      <c r="AA57" s="2354"/>
      <c r="AB57" s="2354"/>
      <c r="AC57" s="2355"/>
    </row>
    <row r="58" spans="1:29" ht="15" thickBot="1" x14ac:dyDescent="0.35">
      <c r="A58" s="505">
        <v>12</v>
      </c>
      <c r="B58" s="503" t="str">
        <f>IF(Basisgegevens!B212="","--",Basisgegevens!B212)</f>
        <v>--</v>
      </c>
      <c r="C58" s="339" t="str">
        <f>IF(Basisgegevens!E212="","--",Basisgegevens!E212)</f>
        <v>--</v>
      </c>
      <c r="D58" s="404" t="str">
        <f>IF(Basisgegevens!H212="","--",Basisgegevens!H212)</f>
        <v>--</v>
      </c>
      <c r="E58" s="1299" t="str">
        <f t="shared" si="1"/>
        <v>n.v.t</v>
      </c>
      <c r="F58" s="1305" t="str">
        <f t="shared" si="2"/>
        <v>n.v.t</v>
      </c>
      <c r="G58" s="1306" t="str">
        <f>IF(E58="n.v.t","n.v.t",Basisgegevens!F212)</f>
        <v>n.v.t</v>
      </c>
      <c r="H58" s="1294">
        <f t="shared" si="4"/>
        <v>0</v>
      </c>
      <c r="I58" s="1291" t="str">
        <f>IF(Basisgegevens!C212=1,Basisgegevens!$C$4,IF(Basisgegevens!D212=1,Basisgegevens!$D$4,"--"))</f>
        <v>--</v>
      </c>
      <c r="J58" s="394">
        <f>Basisgegevens!G212</f>
        <v>0.15</v>
      </c>
      <c r="K58" s="327">
        <f t="shared" si="5"/>
        <v>0</v>
      </c>
      <c r="L58" s="405">
        <f t="shared" si="6"/>
        <v>0</v>
      </c>
      <c r="M58" s="327">
        <f t="shared" si="7"/>
        <v>0</v>
      </c>
      <c r="N58" s="412">
        <f t="shared" si="8"/>
        <v>0</v>
      </c>
      <c r="O58" s="413">
        <f t="shared" si="9"/>
        <v>0</v>
      </c>
      <c r="P58" s="414">
        <f t="shared" si="10"/>
        <v>0</v>
      </c>
      <c r="Q58" s="327">
        <f t="shared" si="11"/>
        <v>0</v>
      </c>
      <c r="R58" s="412">
        <f t="shared" si="12"/>
        <v>0</v>
      </c>
      <c r="S58" s="413">
        <f t="shared" si="13"/>
        <v>0</v>
      </c>
      <c r="T58" s="414">
        <f t="shared" si="14"/>
        <v>0</v>
      </c>
      <c r="U58" s="2356" t="str">
        <f t="shared" si="3"/>
        <v>--</v>
      </c>
      <c r="V58" s="2357"/>
      <c r="W58" s="2357"/>
      <c r="X58" s="2357"/>
      <c r="Y58" s="2357"/>
      <c r="Z58" s="2357"/>
      <c r="AA58" s="2357"/>
      <c r="AB58" s="2357"/>
      <c r="AC58" s="2358"/>
    </row>
    <row r="59" spans="1:29" ht="15" thickBot="1" x14ac:dyDescent="0.35">
      <c r="D59" s="401" t="s">
        <v>199</v>
      </c>
      <c r="E59" s="1300">
        <f>SUM(E47:E58)</f>
        <v>0</v>
      </c>
      <c r="F59" s="1307">
        <f>SUM(F47:F58)</f>
        <v>0</v>
      </c>
      <c r="G59" s="1308">
        <f>SUM(G47:G58)</f>
        <v>0</v>
      </c>
      <c r="H59" s="1295">
        <f>SUM(H47:H58)</f>
        <v>0</v>
      </c>
      <c r="K59" s="392">
        <f t="shared" ref="K59:T59" si="15">SUM(K47:K58)</f>
        <v>0</v>
      </c>
      <c r="L59" s="396">
        <f t="shared" si="15"/>
        <v>0</v>
      </c>
      <c r="M59" s="408">
        <f t="shared" si="15"/>
        <v>0</v>
      </c>
      <c r="N59" s="407">
        <f t="shared" si="15"/>
        <v>0</v>
      </c>
      <c r="O59" s="406">
        <f t="shared" si="15"/>
        <v>0</v>
      </c>
      <c r="P59" s="399">
        <f t="shared" si="15"/>
        <v>0</v>
      </c>
      <c r="Q59" s="408">
        <f t="shared" si="15"/>
        <v>0</v>
      </c>
      <c r="R59" s="407">
        <f t="shared" si="15"/>
        <v>0</v>
      </c>
      <c r="S59" s="406">
        <f t="shared" si="15"/>
        <v>0</v>
      </c>
      <c r="T59" s="397">
        <f t="shared" si="15"/>
        <v>0</v>
      </c>
    </row>
    <row r="60" spans="1:29" ht="15" thickBot="1" x14ac:dyDescent="0.35">
      <c r="N60" s="493" t="s">
        <v>534</v>
      </c>
      <c r="O60" s="494" t="s">
        <v>535</v>
      </c>
      <c r="P60" s="494" t="s">
        <v>536</v>
      </c>
      <c r="R60" s="493" t="s">
        <v>534</v>
      </c>
      <c r="S60" s="494" t="s">
        <v>537</v>
      </c>
      <c r="T60" s="494" t="s">
        <v>536</v>
      </c>
    </row>
    <row r="61" spans="1:29" ht="15" thickBot="1" x14ac:dyDescent="0.35">
      <c r="N61" s="2387" t="s">
        <v>548</v>
      </c>
      <c r="O61" s="2388"/>
      <c r="P61" s="2389"/>
      <c r="R61" s="2387" t="s">
        <v>548</v>
      </c>
      <c r="S61" s="2388"/>
      <c r="T61" s="2389"/>
    </row>
    <row r="70" spans="1:1" ht="15" thickBot="1" x14ac:dyDescent="0.35"/>
    <row r="71" spans="1:1" ht="15" thickBot="1" x14ac:dyDescent="0.35">
      <c r="A71" s="5" t="s">
        <v>415</v>
      </c>
    </row>
    <row r="72" spans="1:1" x14ac:dyDescent="0.3">
      <c r="A72" s="599">
        <v>1</v>
      </c>
    </row>
    <row r="73" spans="1:1" x14ac:dyDescent="0.3">
      <c r="A73" s="600">
        <v>2</v>
      </c>
    </row>
    <row r="74" spans="1:1" x14ac:dyDescent="0.3">
      <c r="A74" s="600">
        <v>3</v>
      </c>
    </row>
    <row r="75" spans="1:1" x14ac:dyDescent="0.3">
      <c r="A75" s="600">
        <v>4</v>
      </c>
    </row>
    <row r="76" spans="1:1" x14ac:dyDescent="0.3">
      <c r="A76" s="600">
        <v>5</v>
      </c>
    </row>
    <row r="77" spans="1:1" x14ac:dyDescent="0.3">
      <c r="A77" s="600">
        <v>6</v>
      </c>
    </row>
    <row r="78" spans="1:1" x14ac:dyDescent="0.3">
      <c r="A78" s="600">
        <v>7</v>
      </c>
    </row>
    <row r="79" spans="1:1" x14ac:dyDescent="0.3">
      <c r="A79" s="600">
        <v>8</v>
      </c>
    </row>
    <row r="80" spans="1:1" x14ac:dyDescent="0.3">
      <c r="A80" s="600">
        <v>9</v>
      </c>
    </row>
    <row r="81" spans="1:11" x14ac:dyDescent="0.3">
      <c r="A81" s="600">
        <v>10</v>
      </c>
    </row>
    <row r="82" spans="1:11" x14ac:dyDescent="0.3">
      <c r="A82" s="600">
        <v>11</v>
      </c>
    </row>
    <row r="83" spans="1:11" ht="15" thickBot="1" x14ac:dyDescent="0.35">
      <c r="A83" s="601">
        <v>12</v>
      </c>
    </row>
    <row r="86" spans="1:11" x14ac:dyDescent="0.3">
      <c r="K86" s="351"/>
    </row>
  </sheetData>
  <sheetProtection algorithmName="SHA-512" hashValue="pkeNGZLKFtaZTp2Vof4mE3mwh3MhUTjRn5paXJJz+ZqogWkeA2XO1rEB30PeD/6LrT/izCVTBfV2v0iI1RZgzg==" saltValue="amgZaSMTBpaGHH10f2x/2Q==" spinCount="100000" sheet="1" objects="1" scenarios="1"/>
  <mergeCells count="50">
    <mergeCell ref="E7:E11"/>
    <mergeCell ref="D31:I31"/>
    <mergeCell ref="F43:F46"/>
    <mergeCell ref="G43:G46"/>
    <mergeCell ref="H43:H46"/>
    <mergeCell ref="B16:E16"/>
    <mergeCell ref="B15:E15"/>
    <mergeCell ref="F14:F15"/>
    <mergeCell ref="G14:G15"/>
    <mergeCell ref="B17:E17"/>
    <mergeCell ref="D30:I30"/>
    <mergeCell ref="D24:F24"/>
    <mergeCell ref="H17:J17"/>
    <mergeCell ref="G24:G25"/>
    <mergeCell ref="I24:I25"/>
    <mergeCell ref="H23:H25"/>
    <mergeCell ref="N61:P61"/>
    <mergeCell ref="R61:T61"/>
    <mergeCell ref="S43:S46"/>
    <mergeCell ref="M42:P42"/>
    <mergeCell ref="Q42:T42"/>
    <mergeCell ref="T43:T46"/>
    <mergeCell ref="M43:M46"/>
    <mergeCell ref="N43:N46"/>
    <mergeCell ref="R43:R46"/>
    <mergeCell ref="P43:P46"/>
    <mergeCell ref="O43:O46"/>
    <mergeCell ref="Q43:Q46"/>
    <mergeCell ref="K43:K46"/>
    <mergeCell ref="J43:J46"/>
    <mergeCell ref="L43:L46"/>
    <mergeCell ref="B19:E19"/>
    <mergeCell ref="B21:E21"/>
    <mergeCell ref="D33:D35"/>
    <mergeCell ref="B13:D13"/>
    <mergeCell ref="U55:AC55"/>
    <mergeCell ref="U56:AC56"/>
    <mergeCell ref="U57:AC57"/>
    <mergeCell ref="U58:AC58"/>
    <mergeCell ref="U46:AC46"/>
    <mergeCell ref="U50:AC50"/>
    <mergeCell ref="U51:AC51"/>
    <mergeCell ref="U52:AC52"/>
    <mergeCell ref="U53:AC53"/>
    <mergeCell ref="U54:AC54"/>
    <mergeCell ref="U47:AC47"/>
    <mergeCell ref="U48:AC48"/>
    <mergeCell ref="U49:AC49"/>
    <mergeCell ref="B18:E18"/>
    <mergeCell ref="B20:E20"/>
  </mergeCells>
  <conditionalFormatting sqref="F29">
    <cfRule type="cellIs" dxfId="34" priority="57" operator="greaterThan">
      <formula>4</formula>
    </cfRule>
  </conditionalFormatting>
  <conditionalFormatting sqref="I29">
    <cfRule type="expression" dxfId="33" priority="679">
      <formula>$I$29&lt;&gt;$F$21</formula>
    </cfRule>
  </conditionalFormatting>
  <conditionalFormatting sqref="F59:H59 L59:T59">
    <cfRule type="expression" dxfId="32" priority="11">
      <formula>ROUND($F$58,0)&lt;&gt;ROUND($F$21,0)</formula>
    </cfRule>
  </conditionalFormatting>
  <conditionalFormatting sqref="C40">
    <cfRule type="cellIs" dxfId="31" priority="9" operator="lessThan">
      <formula>0</formula>
    </cfRule>
  </conditionalFormatting>
  <conditionalFormatting sqref="N4:Z4 N12:Z12 N22:Z22 N34:Z34">
    <cfRule type="expression" dxfId="30" priority="850">
      <formula>$G$29&lt;&gt;2</formula>
    </cfRule>
  </conditionalFormatting>
  <conditionalFormatting sqref="N5:Z5 N13:Z13 N35:Z35 N23:Z23">
    <cfRule type="expression" dxfId="29" priority="847">
      <formula>$G$29&lt;&gt;0</formula>
    </cfRule>
  </conditionalFormatting>
  <conditionalFormatting sqref="N3:Z3 N11:Z11 N21:Z21 N33:Z33">
    <cfRule type="expression" dxfId="28" priority="852">
      <formula>$G$29&lt;&gt;4</formula>
    </cfRule>
  </conditionalFormatting>
  <conditionalFormatting sqref="N9:Z9 N19:Z19 N31:Z31">
    <cfRule type="expression" dxfId="27" priority="855">
      <formula>$G$29&lt;&gt;8</formula>
    </cfRule>
  </conditionalFormatting>
  <conditionalFormatting sqref="N10:Z10 N20:Z20 N32:Z32">
    <cfRule type="expression" dxfId="26" priority="854">
      <formula>$G$29&lt;&gt;6</formula>
    </cfRule>
  </conditionalFormatting>
  <conditionalFormatting sqref="N17:Z17 N29:Z29">
    <cfRule type="expression" dxfId="25" priority="859">
      <formula>$G$29&lt;&gt;12</formula>
    </cfRule>
  </conditionalFormatting>
  <conditionalFormatting sqref="N18:Z18 N30:Z30">
    <cfRule type="expression" dxfId="24" priority="856">
      <formula>$G$29&lt;&gt;10</formula>
    </cfRule>
  </conditionalFormatting>
  <conditionalFormatting sqref="N27:Z27">
    <cfRule type="expression" dxfId="23" priority="865">
      <formula>$G$29&lt;&gt;16</formula>
    </cfRule>
  </conditionalFormatting>
  <conditionalFormatting sqref="N28:Z28">
    <cfRule type="expression" dxfId="22" priority="862">
      <formula>$G$29&lt;&gt;14</formula>
    </cfRule>
  </conditionalFormatting>
  <conditionalFormatting sqref="N3:Z5">
    <cfRule type="expression" dxfId="21" priority="840">
      <formula>$H$29&lt;&gt;1</formula>
    </cfRule>
    <cfRule type="cellIs" dxfId="20" priority="857" operator="equal">
      <formula>$F$17</formula>
    </cfRule>
    <cfRule type="cellIs" dxfId="19" priority="858" operator="equal">
      <formula>$G$17</formula>
    </cfRule>
  </conditionalFormatting>
  <conditionalFormatting sqref="N9:Z13">
    <cfRule type="expression" dxfId="18" priority="836">
      <formula>$H$29&lt;&gt;2</formula>
    </cfRule>
    <cfRule type="cellIs" dxfId="17" priority="860" operator="equal">
      <formula>$F$17</formula>
    </cfRule>
    <cfRule type="cellIs" dxfId="16" priority="861" operator="equal">
      <formula>$G$17</formula>
    </cfRule>
  </conditionalFormatting>
  <conditionalFormatting sqref="N17:Z23">
    <cfRule type="expression" dxfId="15" priority="832">
      <formula>$F$29&lt;&gt;3</formula>
    </cfRule>
    <cfRule type="cellIs" dxfId="14" priority="863" operator="equal">
      <formula>$G$17</formula>
    </cfRule>
    <cfRule type="cellIs" dxfId="13" priority="864" operator="equal">
      <formula>$F$17</formula>
    </cfRule>
  </conditionalFormatting>
  <conditionalFormatting sqref="N27:Z35">
    <cfRule type="expression" dxfId="12" priority="844">
      <formula>$H$29&lt;&gt;4</formula>
    </cfRule>
    <cfRule type="cellIs" dxfId="11" priority="866" operator="equal">
      <formula>$G$17</formula>
    </cfRule>
    <cfRule type="cellIs" dxfId="10" priority="867" operator="equal">
      <formula>$F$17</formula>
    </cfRule>
  </conditionalFormatting>
  <conditionalFormatting sqref="M59:T59">
    <cfRule type="cellIs" dxfId="9" priority="1" operator="lessThan">
      <formula>0</formula>
    </cfRule>
  </conditionalFormatting>
  <pageMargins left="0.70866141732283472" right="0.70866141732283472" top="0.74803149606299213" bottom="0.74803149606299213" header="0.31496062992125984" footer="0.31496062992125984"/>
  <pageSetup paperSize="8" scale="85" orientation="landscape"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39997558519241921"/>
  </sheetPr>
  <dimension ref="A1:I35"/>
  <sheetViews>
    <sheetView zoomScale="80" zoomScaleNormal="80" workbookViewId="0">
      <selection activeCell="A2" sqref="A2"/>
    </sheetView>
  </sheetViews>
  <sheetFormatPr defaultRowHeight="14.4" x14ac:dyDescent="0.3"/>
  <cols>
    <col min="1" max="1" width="14.6640625" style="665" customWidth="1"/>
    <col min="2" max="2" width="89.109375" bestFit="1" customWidth="1"/>
    <col min="3" max="3" width="8.33203125" style="665" bestFit="1" customWidth="1"/>
    <col min="4" max="4" width="3.6640625" customWidth="1"/>
    <col min="5" max="5" width="12.6640625" style="665" customWidth="1"/>
    <col min="6" max="6" width="4.44140625" style="665" bestFit="1" customWidth="1"/>
    <col min="7" max="7" width="84.109375" bestFit="1" customWidth="1"/>
    <col min="8" max="8" width="12.6640625" style="665" customWidth="1"/>
    <col min="9" max="9" width="42.88671875" customWidth="1"/>
  </cols>
  <sheetData>
    <row r="1" spans="1:9" ht="21.6" thickBot="1" x14ac:dyDescent="0.45">
      <c r="A1" s="672" t="s">
        <v>592</v>
      </c>
      <c r="B1" s="673"/>
      <c r="C1" s="674"/>
      <c r="E1" s="675" t="s">
        <v>591</v>
      </c>
      <c r="F1" s="1185"/>
      <c r="G1" s="669"/>
      <c r="H1" s="670"/>
      <c r="I1" s="671"/>
    </row>
    <row r="2" spans="1:9" ht="15" thickBot="1" x14ac:dyDescent="0.35">
      <c r="E2" s="1846"/>
      <c r="F2" s="1846"/>
      <c r="G2" s="1847"/>
      <c r="H2" s="1846"/>
      <c r="I2" s="1848" t="s">
        <v>912</v>
      </c>
    </row>
    <row r="3" spans="1:9" ht="15" thickBot="1" x14ac:dyDescent="0.35">
      <c r="A3" s="666" t="s">
        <v>589</v>
      </c>
      <c r="B3" s="1220" t="s">
        <v>110</v>
      </c>
      <c r="C3" s="1183" t="s">
        <v>593</v>
      </c>
      <c r="E3" s="666" t="s">
        <v>589</v>
      </c>
      <c r="F3" s="1186" t="s">
        <v>709</v>
      </c>
      <c r="G3" s="569" t="s">
        <v>110</v>
      </c>
      <c r="H3" s="666" t="s">
        <v>590</v>
      </c>
      <c r="I3" s="571" t="s">
        <v>362</v>
      </c>
    </row>
    <row r="4" spans="1:9" x14ac:dyDescent="0.3">
      <c r="A4" s="1182">
        <v>43843</v>
      </c>
      <c r="B4" s="1221" t="s">
        <v>939</v>
      </c>
      <c r="C4" s="1224" t="s">
        <v>924</v>
      </c>
      <c r="E4" s="667">
        <v>43575</v>
      </c>
      <c r="F4" s="1188">
        <v>2</v>
      </c>
      <c r="G4" s="663" t="s">
        <v>742</v>
      </c>
      <c r="H4" s="667"/>
      <c r="I4" s="1219"/>
    </row>
    <row r="5" spans="1:9" x14ac:dyDescent="0.3">
      <c r="A5" s="1182">
        <v>43843</v>
      </c>
      <c r="B5" s="1221" t="s">
        <v>938</v>
      </c>
      <c r="C5" s="1224" t="s">
        <v>924</v>
      </c>
      <c r="E5" s="1151"/>
      <c r="F5" s="1187"/>
      <c r="G5" s="1861"/>
      <c r="H5" s="1151"/>
      <c r="I5" s="1219"/>
    </row>
    <row r="6" spans="1:9" x14ac:dyDescent="0.3">
      <c r="A6" s="1182">
        <v>43843</v>
      </c>
      <c r="B6" s="1222" t="s">
        <v>940</v>
      </c>
      <c r="C6" s="1225" t="s">
        <v>924</v>
      </c>
      <c r="E6" s="1151"/>
      <c r="F6" s="1187"/>
      <c r="G6" s="1861"/>
      <c r="H6" s="1151"/>
      <c r="I6" s="1219"/>
    </row>
    <row r="7" spans="1:9" x14ac:dyDescent="0.3">
      <c r="A7" s="667">
        <v>43844</v>
      </c>
      <c r="B7" s="1222" t="s">
        <v>941</v>
      </c>
      <c r="C7" s="1225" t="s">
        <v>924</v>
      </c>
      <c r="E7" s="1151"/>
      <c r="F7" s="1187"/>
      <c r="G7" s="1861"/>
      <c r="H7" s="1151"/>
      <c r="I7" s="1219"/>
    </row>
    <row r="8" spans="1:9" x14ac:dyDescent="0.3">
      <c r="A8" s="667">
        <v>43844</v>
      </c>
      <c r="B8" s="1222" t="s">
        <v>942</v>
      </c>
      <c r="C8" s="1225" t="s">
        <v>924</v>
      </c>
      <c r="E8" s="1151"/>
      <c r="F8" s="1187"/>
      <c r="G8" s="1861"/>
      <c r="H8" s="1151"/>
      <c r="I8" s="1219"/>
    </row>
    <row r="9" spans="1:9" x14ac:dyDescent="0.3">
      <c r="A9" s="667">
        <v>43844</v>
      </c>
      <c r="B9" s="1222" t="s">
        <v>945</v>
      </c>
      <c r="C9" s="1225" t="s">
        <v>924</v>
      </c>
      <c r="E9" s="1151"/>
      <c r="F9" s="1187"/>
      <c r="G9" s="1861"/>
      <c r="H9" s="1151"/>
      <c r="I9" s="1219"/>
    </row>
    <row r="10" spans="1:9" x14ac:dyDescent="0.3">
      <c r="A10" s="667">
        <v>43844</v>
      </c>
      <c r="B10" s="1222" t="s">
        <v>952</v>
      </c>
      <c r="C10" s="1225" t="s">
        <v>924</v>
      </c>
      <c r="E10" s="1151"/>
      <c r="F10" s="1187"/>
      <c r="G10" s="1861"/>
      <c r="H10" s="1151"/>
      <c r="I10" s="1219"/>
    </row>
    <row r="11" spans="1:9" x14ac:dyDescent="0.3">
      <c r="A11" s="667">
        <v>43844</v>
      </c>
      <c r="B11" s="1222" t="s">
        <v>953</v>
      </c>
      <c r="C11" s="1225" t="s">
        <v>924</v>
      </c>
      <c r="E11" s="1151"/>
      <c r="F11" s="1187"/>
      <c r="G11" s="1861"/>
      <c r="H11" s="1151"/>
      <c r="I11" s="1219"/>
    </row>
    <row r="12" spans="1:9" x14ac:dyDescent="0.3">
      <c r="A12" s="667">
        <v>43846</v>
      </c>
      <c r="B12" s="1222" t="s">
        <v>954</v>
      </c>
      <c r="C12" s="1225" t="s">
        <v>924</v>
      </c>
      <c r="E12" s="1151"/>
      <c r="F12" s="1187"/>
      <c r="G12" s="1861"/>
      <c r="H12" s="1151"/>
      <c r="I12" s="1219"/>
    </row>
    <row r="13" spans="1:9" x14ac:dyDescent="0.3">
      <c r="A13" s="667"/>
      <c r="B13" s="1222"/>
      <c r="C13" s="1225"/>
      <c r="E13" s="667"/>
      <c r="F13" s="1188"/>
      <c r="G13" s="663"/>
      <c r="H13" s="667"/>
      <c r="I13" s="1219"/>
    </row>
    <row r="14" spans="1:9" x14ac:dyDescent="0.3">
      <c r="A14" s="667"/>
      <c r="B14" s="1222"/>
      <c r="C14" s="1225"/>
      <c r="E14" s="667"/>
      <c r="F14" s="1188"/>
      <c r="G14" s="663"/>
      <c r="H14" s="667"/>
      <c r="I14" s="1219"/>
    </row>
    <row r="15" spans="1:9" x14ac:dyDescent="0.3">
      <c r="A15" s="667"/>
      <c r="B15" s="1222"/>
      <c r="C15" s="1225"/>
      <c r="E15" s="667"/>
      <c r="F15" s="1188"/>
      <c r="G15" s="663"/>
      <c r="H15" s="667"/>
      <c r="I15" s="1219"/>
    </row>
    <row r="16" spans="1:9" x14ac:dyDescent="0.3">
      <c r="A16" s="667"/>
      <c r="B16" s="1222"/>
      <c r="C16" s="1225"/>
      <c r="E16" s="667"/>
      <c r="F16" s="1188"/>
      <c r="G16" s="663"/>
      <c r="H16" s="667"/>
      <c r="I16" s="1219"/>
    </row>
    <row r="17" spans="1:9" x14ac:dyDescent="0.3">
      <c r="A17" s="667"/>
      <c r="B17" s="1222"/>
      <c r="C17" s="1225"/>
      <c r="E17" s="667"/>
      <c r="F17" s="1188"/>
      <c r="G17" s="663"/>
      <c r="H17" s="667"/>
      <c r="I17" s="1219"/>
    </row>
    <row r="18" spans="1:9" x14ac:dyDescent="0.3">
      <c r="A18" s="667"/>
      <c r="B18" s="1222"/>
      <c r="C18" s="1225"/>
      <c r="E18" s="667"/>
      <c r="F18" s="1188"/>
      <c r="G18" s="663"/>
      <c r="H18" s="667"/>
      <c r="I18" s="1219"/>
    </row>
    <row r="19" spans="1:9" x14ac:dyDescent="0.3">
      <c r="A19" s="667"/>
      <c r="B19" s="1222"/>
      <c r="C19" s="1225"/>
      <c r="E19" s="667"/>
      <c r="F19" s="1188"/>
      <c r="G19" s="663"/>
      <c r="H19" s="667"/>
      <c r="I19" s="1219"/>
    </row>
    <row r="20" spans="1:9" x14ac:dyDescent="0.3">
      <c r="A20" s="667"/>
      <c r="B20" s="1222"/>
      <c r="C20" s="1225"/>
      <c r="E20" s="667"/>
      <c r="F20" s="1188"/>
      <c r="G20" s="663"/>
      <c r="H20" s="667"/>
      <c r="I20" s="1219"/>
    </row>
    <row r="21" spans="1:9" x14ac:dyDescent="0.3">
      <c r="A21" s="667"/>
      <c r="B21" s="1222"/>
      <c r="C21" s="1225"/>
      <c r="E21" s="667"/>
      <c r="F21" s="1188"/>
      <c r="G21" s="663"/>
      <c r="H21" s="667"/>
      <c r="I21" s="1219"/>
    </row>
    <row r="22" spans="1:9" x14ac:dyDescent="0.3">
      <c r="A22" s="667"/>
      <c r="B22" s="1222"/>
      <c r="C22" s="1225"/>
      <c r="E22" s="667"/>
      <c r="F22" s="1188"/>
      <c r="G22" s="663"/>
      <c r="H22" s="667"/>
      <c r="I22" s="1219"/>
    </row>
    <row r="23" spans="1:9" x14ac:dyDescent="0.3">
      <c r="A23" s="667"/>
      <c r="B23" s="1222"/>
      <c r="C23" s="1225"/>
      <c r="E23" s="667"/>
      <c r="F23" s="1188"/>
      <c r="G23" s="663"/>
      <c r="H23" s="667"/>
      <c r="I23" s="1219"/>
    </row>
    <row r="24" spans="1:9" x14ac:dyDescent="0.3">
      <c r="A24" s="667"/>
      <c r="B24" s="1222"/>
      <c r="C24" s="1225"/>
      <c r="E24" s="667"/>
      <c r="F24" s="1188"/>
      <c r="G24" s="663"/>
      <c r="H24" s="667"/>
      <c r="I24" s="1219"/>
    </row>
    <row r="25" spans="1:9" x14ac:dyDescent="0.3">
      <c r="A25" s="667"/>
      <c r="B25" s="1222"/>
      <c r="C25" s="1225"/>
      <c r="E25" s="667"/>
      <c r="F25" s="1188"/>
      <c r="G25" s="663"/>
      <c r="H25" s="667"/>
      <c r="I25" s="1219"/>
    </row>
    <row r="26" spans="1:9" x14ac:dyDescent="0.3">
      <c r="A26" s="667"/>
      <c r="B26" s="1222"/>
      <c r="C26" s="1225"/>
      <c r="E26" s="667"/>
      <c r="F26" s="1188"/>
      <c r="G26" s="663"/>
      <c r="H26" s="667"/>
      <c r="I26" s="1219"/>
    </row>
    <row r="27" spans="1:9" x14ac:dyDescent="0.3">
      <c r="A27" s="667"/>
      <c r="B27" s="1222"/>
      <c r="C27" s="1225"/>
      <c r="E27" s="667"/>
      <c r="F27" s="1188"/>
      <c r="G27" s="663"/>
      <c r="H27" s="667"/>
      <c r="I27" s="1219"/>
    </row>
    <row r="28" spans="1:9" x14ac:dyDescent="0.3">
      <c r="A28" s="667"/>
      <c r="B28" s="1222"/>
      <c r="C28" s="1225"/>
      <c r="E28" s="667"/>
      <c r="F28" s="1188"/>
      <c r="G28" s="663"/>
      <c r="H28" s="667"/>
      <c r="I28" s="1219"/>
    </row>
    <row r="29" spans="1:9" x14ac:dyDescent="0.3">
      <c r="A29" s="667"/>
      <c r="B29" s="1222"/>
      <c r="C29" s="1225"/>
      <c r="E29" s="667"/>
      <c r="F29" s="1188"/>
      <c r="G29" s="663"/>
      <c r="H29" s="667"/>
      <c r="I29" s="1219"/>
    </row>
    <row r="30" spans="1:9" x14ac:dyDescent="0.3">
      <c r="A30" s="667"/>
      <c r="B30" s="1222"/>
      <c r="C30" s="1225"/>
      <c r="E30" s="667"/>
      <c r="F30" s="1188"/>
      <c r="G30" s="663"/>
      <c r="H30" s="667"/>
      <c r="I30" s="1219"/>
    </row>
    <row r="31" spans="1:9" x14ac:dyDescent="0.3">
      <c r="A31" s="667"/>
      <c r="B31" s="1222"/>
      <c r="C31" s="1225"/>
      <c r="E31" s="667"/>
      <c r="F31" s="1188"/>
      <c r="G31" s="663"/>
      <c r="H31" s="667"/>
      <c r="I31" s="1219"/>
    </row>
    <row r="32" spans="1:9" x14ac:dyDescent="0.3">
      <c r="A32" s="667"/>
      <c r="B32" s="1222"/>
      <c r="C32" s="1225"/>
      <c r="E32" s="667"/>
      <c r="F32" s="1188"/>
      <c r="G32" s="663"/>
      <c r="H32" s="667"/>
      <c r="I32" s="1219"/>
    </row>
    <row r="33" spans="1:9" x14ac:dyDescent="0.3">
      <c r="A33" s="667"/>
      <c r="B33" s="1222"/>
      <c r="C33" s="1225"/>
      <c r="E33" s="667"/>
      <c r="F33" s="1188"/>
      <c r="G33" s="663"/>
      <c r="H33" s="667"/>
      <c r="I33" s="1219"/>
    </row>
    <row r="34" spans="1:9" x14ac:dyDescent="0.3">
      <c r="A34" s="667"/>
      <c r="B34" s="1222"/>
      <c r="C34" s="1225"/>
      <c r="E34" s="667"/>
      <c r="F34" s="1188"/>
      <c r="G34" s="663"/>
      <c r="H34" s="667"/>
      <c r="I34" s="1219"/>
    </row>
    <row r="35" spans="1:9" ht="15" thickBot="1" x14ac:dyDescent="0.35">
      <c r="A35" s="668"/>
      <c r="B35" s="1223"/>
      <c r="C35" s="1226"/>
      <c r="E35" s="668"/>
      <c r="F35" s="1189"/>
      <c r="G35" s="664"/>
      <c r="H35" s="668"/>
      <c r="I35" s="1279"/>
    </row>
  </sheetData>
  <sheetProtection algorithmName="SHA-512" hashValue="/i9MbMTYw+1yRB4h1jKlZ/uwKrki9OCnsdxlIkqPmIdUQVNYe69UIF6qrC0Zyj/H8CRyz8iJP36AJCLEr4BT2w==" saltValue="cBTyZJFh1nFiOjC7ZR1iKw==" spinCount="100000" sheet="1" objects="1" scenarios="1"/>
  <sortState xmlns:xlrd2="http://schemas.microsoft.com/office/spreadsheetml/2017/richdata2" ref="E4:I12">
    <sortCondition ref="F4:F12"/>
    <sortCondition ref="H4:H12"/>
    <sortCondition ref="E4:E12"/>
  </sortState>
  <conditionalFormatting sqref="F5:F12 F14:F35">
    <cfRule type="cellIs" dxfId="8" priority="7" operator="equal">
      <formula>3</formula>
    </cfRule>
    <cfRule type="cellIs" dxfId="7" priority="8" operator="equal">
      <formula>2</formula>
    </cfRule>
    <cfRule type="cellIs" dxfId="6" priority="9" operator="equal">
      <formula>1</formula>
    </cfRule>
  </conditionalFormatting>
  <conditionalFormatting sqref="F13">
    <cfRule type="cellIs" dxfId="5" priority="4" operator="equal">
      <formula>3</formula>
    </cfRule>
    <cfRule type="cellIs" dxfId="4" priority="5" operator="equal">
      <formula>2</formula>
    </cfRule>
    <cfRule type="cellIs" dxfId="3" priority="6" operator="equal">
      <formula>1</formula>
    </cfRule>
  </conditionalFormatting>
  <conditionalFormatting sqref="F4">
    <cfRule type="cellIs" dxfId="2" priority="1" operator="equal">
      <formula>3</formula>
    </cfRule>
    <cfRule type="cellIs" dxfId="1" priority="2" operator="equal">
      <formula>2</formula>
    </cfRule>
    <cfRule type="cellIs" dxfId="0" priority="3" operator="equal">
      <formula>1</formula>
    </cfRule>
  </conditionalFormatting>
  <pageMargins left="0.7" right="0.7" top="0.75" bottom="0.75" header="0.3" footer="0.3"/>
  <pageSetup paperSize="9" orientation="portrait" horizont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tint="-0.499984740745262"/>
  </sheetPr>
  <dimension ref="A1:E5"/>
  <sheetViews>
    <sheetView zoomScale="90" zoomScaleNormal="90" workbookViewId="0">
      <selection activeCell="H11" sqref="H11"/>
    </sheetView>
  </sheetViews>
  <sheetFormatPr defaultRowHeight="14.4" x14ac:dyDescent="0.3"/>
  <cols>
    <col min="1" max="1" width="9.5546875" bestFit="1" customWidth="1"/>
    <col min="5" max="5" width="11.5546875" bestFit="1" customWidth="1"/>
  </cols>
  <sheetData>
    <row r="1" spans="1:5" ht="15" thickBot="1" x14ac:dyDescent="0.35">
      <c r="A1" s="555" t="s">
        <v>149</v>
      </c>
      <c r="B1" s="556" t="s">
        <v>163</v>
      </c>
      <c r="C1" s="557" t="s">
        <v>456</v>
      </c>
      <c r="D1" s="319" t="s">
        <v>477</v>
      </c>
      <c r="E1" s="319" t="s">
        <v>87</v>
      </c>
    </row>
    <row r="2" spans="1:5" x14ac:dyDescent="0.3">
      <c r="A2" s="31" t="s">
        <v>150</v>
      </c>
      <c r="B2" s="34" t="s">
        <v>164</v>
      </c>
      <c r="C2" s="340">
        <v>0</v>
      </c>
      <c r="D2" s="342">
        <v>0</v>
      </c>
      <c r="E2" s="342">
        <v>0.6</v>
      </c>
    </row>
    <row r="3" spans="1:5" ht="15" thickBot="1" x14ac:dyDescent="0.35">
      <c r="A3" s="32" t="s">
        <v>151</v>
      </c>
      <c r="B3" s="33" t="s">
        <v>165</v>
      </c>
      <c r="C3" s="341">
        <v>1</v>
      </c>
      <c r="D3" s="343">
        <v>0.15</v>
      </c>
      <c r="E3" s="343">
        <v>0.45</v>
      </c>
    </row>
    <row r="4" spans="1:5" ht="15" thickBot="1" x14ac:dyDescent="0.35">
      <c r="A4" s="22" t="s">
        <v>152</v>
      </c>
      <c r="D4" s="343">
        <v>0.25</v>
      </c>
    </row>
    <row r="5" spans="1:5" ht="15" thickBot="1" x14ac:dyDescent="0.35">
      <c r="D5" s="344">
        <v>0.35</v>
      </c>
    </row>
  </sheetData>
  <sheetProtection algorithmName="SHA-512" hashValue="8+4opX956u6FsccO3f8DU8Ii5nJuTJzY3mYpy1VPRFuUzD5SDUjnn+TBpivCR5Cx6MDbUi86LF9zwXO95euR5w==" saltValue="z5gv+e72mCEJ8DAg05Z/V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Samenvatting</vt:lpstr>
      <vt:lpstr>Handleiding</vt:lpstr>
      <vt:lpstr>Basisgegevens</vt:lpstr>
      <vt:lpstr>Alimentatie 2019-2 (Juli)</vt:lpstr>
      <vt:lpstr>Jusvergelijking</vt:lpstr>
      <vt:lpstr>Behoefteberekening</vt:lpstr>
      <vt:lpstr>Kinderalimentatie</vt:lpstr>
      <vt:lpstr>Wijzigingen &amp; To Do's</vt:lpstr>
      <vt:lpstr>Keuzelijsten</vt:lpstr>
      <vt:lpstr>Jusvergelijking!Afdrukbereik</vt:lpstr>
      <vt:lpstr>Samenvatting!Afdrukbereik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Arjo Snijder Sr.</dc:creator>
  <cp:lastModifiedBy>A.J. Snijder Sr.</cp:lastModifiedBy>
  <cp:lastPrinted>2019-04-13T17:39:54Z</cp:lastPrinted>
  <dcterms:created xsi:type="dcterms:W3CDTF">2015-06-09T18:15:20Z</dcterms:created>
  <dcterms:modified xsi:type="dcterms:W3CDTF">2020-02-10T20:23:58Z</dcterms:modified>
</cp:coreProperties>
</file>