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2"/>
  <workbookPr/>
  <mc:AlternateContent xmlns:mc="http://schemas.openxmlformats.org/markup-compatibility/2006">
    <mc:Choice Requires="x15">
      <x15ac:absPath xmlns:x15ac="http://schemas.microsoft.com/office/spreadsheetml/2010/11/ac" url="https://d.docs.live.net/8a0e41b63ed7fe2b/Documents/Alimentatie-Scheiding-Website/Alimentatie/2023-2e halfjaar/"/>
    </mc:Choice>
  </mc:AlternateContent>
  <xr:revisionPtr revIDLastSave="1090" documentId="8_{91FE6BC6-797A-4AB8-9318-84EB5FFED482}" xr6:coauthVersionLast="47" xr6:coauthVersionMax="47" xr10:uidLastSave="{3897987D-322D-441F-A2E4-3D9225FABE9D}"/>
  <bookViews>
    <workbookView xWindow="28680" yWindow="-120" windowWidth="29040" windowHeight="17520" tabRatio="865" activeTab="3" xr2:uid="{00000000-000D-0000-FFFF-FFFF00000000}"/>
  </bookViews>
  <sheets>
    <sheet name="Samenvatting" sheetId="13" r:id="rId1"/>
    <sheet name="Handleiding" sheetId="18" r:id="rId2"/>
    <sheet name="Alimentatie 2023-02" sheetId="6" r:id="rId3"/>
    <sheet name="Basisgegevens" sheetId="7" r:id="rId4"/>
    <sheet name="Kinderalimentatie" sheetId="8" r:id="rId5"/>
    <sheet name="Behoefteberekening" sheetId="17" r:id="rId6"/>
    <sheet name="Jusvergelijking" sheetId="16" r:id="rId7"/>
    <sheet name="Woonlasten_afwijkend" sheetId="19" r:id="rId8"/>
    <sheet name="Wijzigingen &amp; To Do's" sheetId="14" r:id="rId9"/>
    <sheet name="Keuzelijsten" sheetId="9" r:id="rId10"/>
  </sheets>
  <externalReferences>
    <externalReference r:id="rId11"/>
  </externalReferences>
  <definedNames>
    <definedName name="_xlnm._FilterDatabase" localSheetId="2" hidden="1">'Alimentatie 2023-02'!$A$2:$H$330</definedName>
    <definedName name="_xlnm.Print_Area" localSheetId="5">Behoefteberekening!$A$1:$G$70</definedName>
    <definedName name="_xlnm.Print_Area" localSheetId="6">Jusvergelijking!$A$1:$F$26</definedName>
    <definedName name="_xlnm.Print_Area" localSheetId="0">Samenvatting!$A$1:$H$7</definedName>
    <definedName name="AL100InkAanmBelang_AG" comment="Post 100 Inkomen uit aanmerkelijk belang AG">'Alimentatie 2023-02'!$F$146</definedName>
    <definedName name="AL100InkAanmBelang_AP" comment="Post 100 Inkomen uit aanmerkelijk belang AP">'Alimentatie 2023-02'!$D$146</definedName>
    <definedName name="AL103WerkVemInk_AG" comment="Post 103 Werkelijke vemogens-inkomsten AG">'Alimentatie 2023-02'!$F$155</definedName>
    <definedName name="AL103WerkVemInk_AP" comment="Post 103 Werkelijke vemogensinkomsten AP">'Alimentatie 2023-02'!$D$155</definedName>
    <definedName name="AL108GrondslagSenB_AG" comment="Post 108 Grondslag Sparen en Beleggen AG">'Alimentatie 2023-02'!$F$171</definedName>
    <definedName name="AL108GrondslagSenB_AP" comment="Post 108 Grondslag Sparen en Beleggen AP">'Alimentatie 2023-02'!$D$171</definedName>
    <definedName name="AL111InkomenBox3_AG" comment="Post 111 Belastbaar inkomen uit sparen en beleggen box 3 AG">'Alimentatie 2023-02'!$F$175</definedName>
    <definedName name="AL111InkomenBox3_AP" comment="Post 111 Belastbaar inkomen uit sparen en beleggen box 3 AP">'Alimentatie 2023-02'!$D$175</definedName>
    <definedName name="AL117aRestZVWbedrag_AG" comment="Het resterende inkomen waarover nog ZKV premie geheven kan worden AG">'Alimentatie 2023-02'!$F$213</definedName>
    <definedName name="AL117aRestZVWbedrag_AP" comment="Het resterende inkomen waarover nog ZKV premie geheven kan worden AP">'Alimentatie 2023-02'!$D$213</definedName>
    <definedName name="AL121NBI_AG">'Alimentatie 2023-02'!$F$246</definedName>
    <definedName name="AL121NBI_AP">'Alimentatie 2023-02'!$D$246</definedName>
    <definedName name="AL121NBI_KA_AG">'Alimentatie 2023-02'!$G$246</definedName>
    <definedName name="AL121NBI_KA_AP">'Alimentatie 2023-02'!$E$246</definedName>
    <definedName name="AL41_50BrutoInkomen_AG" comment="Post 41 tm 50 Bruto Jaar inkomen AG">'Alimentatie 2023-02'!$F$21</definedName>
    <definedName name="AL41_50BrutoInkomen_AP" comment="Post 41 tm 50 Bruto Jaar inkomen AP">'Alimentatie 2023-02'!$D$21</definedName>
    <definedName name="AL41Arbeidsinkomen_AG" comment="Post 41 Bruto arbeidsinkomen uit dienstbetrekking AG">'Alimentatie 2023-02'!$F$6</definedName>
    <definedName name="AL41Arbeidsinkomen_AP" comment="Post 41 Bruto arbeidsinkomen uit dienstbetrekking AP">'Alimentatie 2023-02'!$D$6</definedName>
    <definedName name="AL41DGA_AG" comment="Post 41 Zijn dit inkomsten verkregen als DGA en moet een eigen bijdrage ZVW worden betaald? (Standaard is Nee) AG">'Alimentatie 2023-02'!$F$13</definedName>
    <definedName name="AL41DGA_AP" comment="Post 41 Zijn dit inkomsten verkregen als DGA en moet een eigen bijdrage ZVW worden betaald? (Standaard is Nee) AP">'Alimentatie 2023-02'!$D$13</definedName>
    <definedName name="AL42AOWUitkering_AG" comment="Post 42 Bruto AOW uitkering AG">'Alimentatie 2023-02'!$F$15</definedName>
    <definedName name="AL42AOWuitkering_AP" comment="Post 42 Bruto AOW uitkering AP">'Alimentatie 2023-02'!$D$15</definedName>
    <definedName name="AL43SocVerz_AG" comment="Post 43 Bruto Uitkering Soc. verzekeringswetten AP">'Alimentatie 2023-02'!$F$16</definedName>
    <definedName name="AL43SocVerz_AP" comment="Post 43 Bruto Uitkering Soc. verzekeringswetten AP">'Alimentatie 2023-02'!$D$16</definedName>
    <definedName name="AL45Bouwinkomen_AG" comment="Post 45: Inkomen Bouw incl. vakantiebonnen AG">'Alimentatie 2023-02'!$F$17</definedName>
    <definedName name="AL45Bouwinkomen_AP" comment="Post 45: Inkomen Bouw incl. vakantiebonnen AP">'Alimentatie 2023-02'!$D$17</definedName>
    <definedName name="AL50BrutoPensioen_AG" comment="Post 50 Bruto Pensioen uitkering AG">'Alimentatie 2023-02'!$F$20</definedName>
    <definedName name="AL50BrutoPensioen_AP" comment="Post 50 Bruto Pensioen uitkering AP">'Alimentatie 2023-02'!$D$20</definedName>
    <definedName name="AL51aPensioenSparen_AG">'Alimentatie 2023-02'!$G$31</definedName>
    <definedName name="AL51aPensioenSparen_AP" comment="Post 51a: Afgedragen premie Netto Pensioensparen AP">'Alimentatie 2023-02'!$E$31</definedName>
    <definedName name="AL51Pensioenpremie_AG" comment="Post 51 Ingehouden pensionpremie AG">'Alimentatie 2023-02'!$F$30</definedName>
    <definedName name="AL51Pensioenpremie_AP" comment="Post 51 Ingehouden pensioen-premie AP">'Alimentatie 2023-02'!$D$30</definedName>
    <definedName name="AL52VUTFPUpremie_AG" comment="Post 52 Premie VUT/FPU etc AG">'Alimentatie 2023-02'!$F$32</definedName>
    <definedName name="AL52VUTFPUpremie_AP" comment="Post 52 Premie VUT/FPU etc AP">'Alimentatie 2023-02'!$D$32</definedName>
    <definedName name="AL53WAOWIAgat_AG" comment="Post 53 Premie WAO/WIA-gat AG">'Alimentatie 2023-02'!$F$33</definedName>
    <definedName name="AL53WAOWIAgat_AP" comment="Post 53 Premie WAO/WIA-gat AP">'Alimentatie 2023-02'!$D$33</definedName>
    <definedName name="AL54LoonvoorPremies_AG" comment="Post 54 hLoon voor premies Werknemersverzekeringen AG">'Alimentatie 2023-02'!$F$34</definedName>
    <definedName name="AL54LoonvoorPremies_AP" comment="Post 54 hLoon voor premies Werknemersverzekeringen AP">'Alimentatie 2023-02'!$D$34</definedName>
    <definedName name="AL55PremieWW_AG" comment="Post 55 Premie WW AG">'Alimentatie 2023-02'!$F$37</definedName>
    <definedName name="AL55PremieWW_AP" comment="Post 55 Premie WW AP">'Alimentatie 2023-02'!$D$37</definedName>
    <definedName name="AL56PremieAOV_AG" comment="Post 56 Premie Arbeidsongeschikt-heidsverzekering AG">'Alimentatie 2023-02'!$F$38</definedName>
    <definedName name="AL56PremieAOV_AP" comment="Post 56 Premie Arbeidsongeschikt-heidsverzekering AP">'Alimentatie 2023-02'!$D$38</definedName>
    <definedName name="AL58Ziektekosten_AG" comment="Post 58 Belaste bijdrage in de ziektekosten AG">'Alimentatie 2023-02'!$F$43</definedName>
    <definedName name="AL58Ziektekosten_AP" comment="Post 58 Belaste bijdrage in de ziektekosten AP">'Alimentatie 2023-02'!$D$43</definedName>
    <definedName name="AL59Arbeidsinkomen_AG" comment="Post 59 Arbeidsinkomen van de AG o.b.v. loonstroken (59) (zie ook post 60)">'Alimentatie 2023-02'!$F$44</definedName>
    <definedName name="AL59Arbeidsinkomen_AP" comment="Post 59 Arbeidsinkomen van de AP o.b.v. loonstroken (59) (zie ook post 60)">'Alimentatie 2023-02'!$D$44</definedName>
    <definedName name="AL60Arbeidsinkomen_AG" comment="Post 60 Arbeidsinkomen van de AG o.b.v. jaaropgave (60) (zie ook post 59)">'Alimentatie 2023-02'!$F$50</definedName>
    <definedName name="AL60Arbeidsinkomen_AP" comment="Post 60 Arbeidsinkomen van de AP o.b.v. jaaropgave (60) (zie ook post 59)">'Alimentatie 2023-02'!$D$50</definedName>
    <definedName name="AL64BelastbaarLoon_AG" comment="Post 64 Belastbaar loon AG (a)">'Alimentatie 2023-02'!$F$56</definedName>
    <definedName name="AL64BelastbaarLoon_AP" comment="Post 64 Belastbaar Loon AP (a)">'Alimentatie 2023-02'!$D$56</definedName>
    <definedName name="AL70WinstOnderneming_AG" comment="Post 70 Winst uit onderneming AG">'Alimentatie 2023-02'!$F$66</definedName>
    <definedName name="AL70WinstOnderneming_AP" comment="Post 70 Winst uit onderneming AP">'Alimentatie 2023-02'!$D$66</definedName>
    <definedName name="AL75BelastbareWinst_AG" comment="Post 75 Belastbare Winst AG (b)">'Alimentatie 2023-02'!$F$75</definedName>
    <definedName name="AL75BelastbareWinst_AP" comment="Post 75 Belastbare Winst AP">'Alimentatie 2023-02'!$D$75</definedName>
    <definedName name="AL78OverigeWerkz_AG" comment="Post 78 Resultaat Overige Werkzaamheden AG">'Alimentatie 2023-02'!$F$80</definedName>
    <definedName name="AL78OverigeWerkz_AP" comment="Post 78 Resultaat Overige Werkzaamheden AP">'Alimentatie 2023-02'!$D$80</definedName>
    <definedName name="AL79aVEWRentePA_AG" comment="Post 79a Door de ex. partner AP betaalde hypotheekrente als partneralimentatie ">'Alimentatie 2023-02'!$F$84</definedName>
    <definedName name="AL79aVEWRentePA_AP" comment="Post 79a Door de ex. partner AG betaalde hypotheekrente als partneralimentatie AL79aVEWRentePA_AP">'Alimentatie 2023-02'!$D$84</definedName>
    <definedName name="AL81OEWFictiefInk_AG" comment="Post 81: Fictief inkomen uit OEW AG">'Alimentatie 2023-02'!$F$91</definedName>
    <definedName name="AL81OEWFictiefInk_AP" comment="Post 81: Fictief inkomen uit OEW AP">'Alimentatie 2023-02'!$D$91</definedName>
    <definedName name="AL81Periodieken_AG" comment="Post 81 Periode Uitkeringen en Verstrekkingen AG (d)">'Alimentatie 2023-02'!$F$86</definedName>
    <definedName name="AL81Periodieken_AP" comment="Post 81 Periodieke Uitkeringen en Verstrekkingen (d) AP">'Alimentatie 2023-02'!$D$86</definedName>
    <definedName name="AL81Periodieken_KA_AG">'Alimentatie 2023-02'!$G$86</definedName>
    <definedName name="AL81Periodieken_KA_AP">'Alimentatie 2023-02'!$E$86</definedName>
    <definedName name="AL85InkomstenEW_AG" comment="Post 85: (Fictieve) inkomsten uit Eigen Woning AG">'Alimentatie 2023-02'!$F$102</definedName>
    <definedName name="AL85InkomstenEW_AP" comment="Post 85: (Fictieve) inkomsten uit Eigen Woning AP">'Alimentatie 2023-02'!$D$102</definedName>
    <definedName name="AL89Inkomensvoorz_AG" comment="Post 89 Uitgaven voor inkomens-voorziening AG">'Alimentatie 2023-02'!$F$108</definedName>
    <definedName name="AL89Inkomensvoorz_AP" comment="Post 89 Uitgaven voor inkomens-voorziening AP">'Alimentatie 2023-02'!$D$108</definedName>
    <definedName name="AL90Kinderopvang_AG" comment="Post 90 Uitgaven voor kinder-opvang AG">'Alimentatie 2023-02'!$F$110</definedName>
    <definedName name="AL90Kinderopvang_AP" comment="Post 90 Uitgaven voor kinder-opvang AP">'Alimentatie 2023-02'!$D$110</definedName>
    <definedName name="AL93PersGebAftrek_AG" comment="Post 93 Persoonsgebonden aftrek AG">'Alimentatie 2023-02'!$F$116</definedName>
    <definedName name="AL93PersGebAftrek_AP" comment="Post 93 Persoonsgebonden aftrek AP">'Alimentatie 2023-02'!$D$116</definedName>
    <definedName name="AL94VerzInkomen_AG" comment="Post 94 Bbelastbaar/verzamel-inkomen van de AG">'Alimentatie 2023-02'!$F$129</definedName>
    <definedName name="AL94VerzInkomen_AP" comment="Post 94 Belastbaar / verzamel-inkomen van de AP">'Alimentatie 2023-02'!$D$129</definedName>
    <definedName name="ALZVWRestbedrag_AG" comment="Het restbedrag waarover nog ZVW premie geheven zou mogen worden AG">'Alimentatie 2023-02'!$F$202</definedName>
    <definedName name="ALZVWRestbedrag_AP" comment="Het restbedrag waarover nog ZVW premie geheven zou mogen worden AP">'Alimentatie 2023-02'!$D$202</definedName>
    <definedName name="BG_NwPartner_AP" comment="Is er sprake van een nieuwe partner van AP met voldoende eigen inkomen?">Basisgegevens!$C$11</definedName>
    <definedName name="BG_NwPartner_Percentage_AP" comment="Het % dat de nieuwe partner van AP bijdraagt in de woonlasten">Basisgegevens!$C$12</definedName>
    <definedName name="BG119aBijstand_AG" comment="Door de AG ontvangen bijstand">Basisgegevens!$F$211</definedName>
    <definedName name="BG119aBijstand_AP" comment="Door de AP ontvangen bijstand">Basisgegevens!$D$211</definedName>
    <definedName name="BG123MinForfWoonlast" comment="Minimale Fofataire Woonlast">Basisgegevens!$C$223</definedName>
    <definedName name="BG123WoonbudgetPercentage" comment="Het woonbudget% van het Netto Besteedbaar Inkomen (NBI)">Basisgegevens!$C$224</definedName>
    <definedName name="BG41eaArbeidsloon_AG" comment="Post 41: De totale inkomsten uit Arbeid inclusief de post 42, 44 en 46 t/m 48 AG">Basisgegevens!$F$73</definedName>
    <definedName name="BG41eaArbeidsloon_AP" comment="Post 41: De totale inkomsten uit Arbeid inclusief de post 42, 44 en 46 t/m 48 AP">Basisgegevens!$D$73</definedName>
    <definedName name="BG42AOWuitkering_AG" comment="Post 42 Bruto AOW uitkering AG">Basisgegevens!$F$121</definedName>
    <definedName name="BG42AOWuitkering_AP" comment="Post 42 Bruto AOW uitkering AP">Basisgegevens!$D$121</definedName>
    <definedName name="BG43SocVerzWet_AG" comment="Post 43: Bruto uitkering Sociale verzekeringswetten AG">Basisgegevens!$F$131</definedName>
    <definedName name="BG43SocVerzWet_AP" comment="Post 43: Bruto uitkering Sociale verzekeringswetten AP">Basisgegevens!$D$131</definedName>
    <definedName name="BG50BrutoPensioen_AG" comment="Post 50 Bruto pensioen uitkering AG">Basisgegevens!$F$139</definedName>
    <definedName name="BG50BrutoPensioen_AP" comment="Post 50 Bruto pensioen uitkering AP">Basisgegevens!$D$139</definedName>
    <definedName name="BG60BijtellingAuto_AG" comment="Post 60 Bijtelling (lease)auto - bij Ja - in mindering brengen op loon jaaropgave werkgever 1 AG">Basisgegevens!$F$34</definedName>
    <definedName name="BG60BijtellingAuto_AP" comment="Post 60 Bijtelling (lease)auto - bij Ja - in mindering brengen op loon jaaropgave werkgever 1 AP">Basisgegevens!$D$34</definedName>
    <definedName name="BG60Jaaropgave1_AG" comment="Post 60 Loon volgens jaaropgave werkgever 1 incl. evt. bijtelling leaseauto AG">Basisgegevens!$E$33</definedName>
    <definedName name="BG60Jaaropgave1_AP" comment="Post 60 Loon volgens jaaropgave werkgever 1 incl. evt. bijtelling leaseauto AP">Basisgegevens!$C$33</definedName>
    <definedName name="BG60Jaaropgave2_AG" comment="Post 60 Loon volgens jaaropgave werkgever 2 AG">Basisgegevens!$E$35</definedName>
    <definedName name="BG60Jaaropgave2_AP" comment="Post 60 Loon volgens jaaropgave werkgever 2 AP">Basisgegevens!$C$35</definedName>
    <definedName name="BG82EWFAfbouwtarief" comment="De aftrek geen/kleine eigenwoningschuld wordt jaarlijks x% lager tot uiteindelijk 0% in 2048">Basisgegevens!$C$180</definedName>
    <definedName name="BG83HypotheekrenteW2_AG" comment="Post 83 Hypotheekrente van woning 2 AG (bij geen OEW)">Basisgegevens!$E$187</definedName>
    <definedName name="BG83HypRente_W1_AG" comment="Post 83 Hypotheekrente van woning 1 AG (geen OEW)">Basisgegevens!$F$174</definedName>
    <definedName name="BG83HypRenteWoning1" comment="Post 83 Hypotheekrente van woning 1">Basisgegevens!$E$174</definedName>
    <definedName name="BG83HypRenteWoning2" comment="Post 83 Hypotheekrente van woning 2 AP (bij geen OEW)">Basisgegevens!$F$187</definedName>
    <definedName name="BGAOWLeeftijdBereikt_AG" comment="Heeft de AG de AOW leeftijd bereikt">Basisgegevens!$D$10</definedName>
    <definedName name="BGAOWLeeftijdBereikt_AP" comment="Heeft de AP de AOW leeftijd bereikt">Basisgegevens!$C$10</definedName>
    <definedName name="BGBelastingbedragSchijf3" comment="Het belastbaar bedrag waar vanaf het hoogste belastingtarief geldt">Basisgegevens!$M$17</definedName>
    <definedName name="BGBelastingTariefBeperking" comment="Beperking hoogste belastingtarief bij de hogere inkomens">Basisgegevens!$C$216</definedName>
    <definedName name="BGBelastingTariefSchijf1" comment="Het belastingtarief in schijf 1">Basisgegevens!$O$16</definedName>
    <definedName name="BGBelastingTariefSchijf2" comment="Belastingtarief in schijf 2">Basisgegevens!$O$17</definedName>
    <definedName name="BGDrempelRendement" comment="Drempelbedrag schulden bij rendementsgrondslag">Basisgegevens!$C$219</definedName>
    <definedName name="BGHeffingsvrijVermogen" comment="Heffingsvrij vermogen zonder fiscale partner">Basisgegevens!$M$204</definedName>
    <definedName name="BGHypNettoVDKortingen_AG" comment="Het verschil aan heffingskortingen o.b.v. betaalde hypotheekrente t.a.v. bepalen van het netto belastingvoordeel hiervan voor de woonlasten AG">Basisgegevens!$Z$76</definedName>
    <definedName name="BGHypNettoVDKortingen_AP" comment="Het verschil aan heffingskortingen o.b.v. betaalde hypotheekrente t.a.v. bepalen van het netto belastingvoordeel hiervan voor de woonlasten AP.">Basisgegevens!$Y$76</definedName>
    <definedName name="BGJaarBerekening" comment="Het jaartal waarvoor de berekening moet worden gemaakt">Basisgegevens!$C$17</definedName>
    <definedName name="BGKGBbij119a" comment="Het - na scheiding - te ontvangen Kingebondenbudget opvoeren bij post 119a?">Basisgegevens!$C$288</definedName>
    <definedName name="BGKGBNaScheidingAG" comment="Het na scheiding te ontvangen Kindgebonden budget (KGB) door AG">Basisgegevens!$D$286</definedName>
    <definedName name="BGKGBNaScheidingAP" comment="Het na scheiding te ontvangen Kindgebonden budget (KGB) door AP">Basisgegevens!$C$286</definedName>
    <definedName name="BGKGBNBIMaxiamaliseren" comment="NBI maximaliseren op € 6000,- bij een NBI &gt; € 6000,- (Ja / Nee)">Basisgegevens!$C$289</definedName>
    <definedName name="BGKind21Wel" comment="Een kind van 21 jaar of ouder wel mee blijven nemen bij de berekening van de kinderalimentatie">Basisgegevens!$E$291</definedName>
    <definedName name="BGOEW104EWFBox3_AG" comment="Post 104 OEW het EWF-aandeel naar box 3 AG">Basisgegevens!$Q$185</definedName>
    <definedName name="BGOEW104EWFBox3_AP" comment="Post 104 OEW het EWF-aandeel naar box 3 AP">Basisgegevens!$P$185</definedName>
    <definedName name="BGOEW104SchuldBox3_AG" comment="Post 104 OEW het aandeel in de woningschuld naar box 3 AG">Basisgegevens!$Q$193</definedName>
    <definedName name="BGOEW104SchuldBox3_AP" comment="Post 104 OEW het aandeel in de woningschuld naar box 3 AP">Basisgegevens!$P$193</definedName>
    <definedName name="BGOEW117aEWFZVW_AG" comment="Bedrag aan Eigen Woning Forfait waarover bijdrage ZVW is verschuldigd AG">Basisgegevens!$Q$186</definedName>
    <definedName name="BGOEW117aEWFZVW_AP" comment="Bedrag aan Eigen Woning Forfait waarover bijdrage ZVW is verschuldigd">Basisgegevens!$P$186</definedName>
    <definedName name="BGOEW117aRenteZVW_AG" comment="Bedrag aan Rente waarover bijdrage ZVW is verschuldigd AG">Basisgegevens!$Q$190</definedName>
    <definedName name="BGOEW117aRenteZVW_AP" comment="Bedrag aan Rente waarover bijdrage ZVW is verschuldigd AP">Basisgegevens!$P$190</definedName>
    <definedName name="BGOEW123Rente_AG" comment="Post 123 OEW Rente OEW AG">Basisgegevens!$Q$191</definedName>
    <definedName name="BGOEW123Rente_AP" comment="Post 123 OEW Rente OEW AP">Basisgegevens!$P$191</definedName>
    <definedName name="BGOEW138RentePA_AG" comment="Post 138 Rente betaaald aan ex als PA AG">Basisgegevens!$Q$192</definedName>
    <definedName name="BGOEW138RentePA_AP" comment="Post 138 Rente betaaald aan ex als PA AP">Basisgegevens!$P$192</definedName>
    <definedName name="BGOEW24MndTermijn" comment="Woning langer dan 24 maanden geleden verlaten?">Basisgegevens!$P$166</definedName>
    <definedName name="BGOEW81EWFPA_AG" comment="Post 81 Eigen Woning Forfait ontvangen als PA door AG (81)">Basisgegevens!$Q$182</definedName>
    <definedName name="BGOEW81EWFPA_AP" comment="Post 81 Eigen Woning Forfait ontvangen als PA door AP (81)">Basisgegevens!$P$182</definedName>
    <definedName name="BGOEW81RentePA_AG" comment="Post 81 Eigen Woning Rente ontvangen als PA door AG (81)">Basisgegevens!$Q$187</definedName>
    <definedName name="BGOEW81RentePA_AP" comment="Post 81 Eigen Woning Rente ontvangen als PA door AP (81)">Basisgegevens!$P$187</definedName>
    <definedName name="BGOEW82aEWF_AG" comment="Post 82a Onverdeeld Eigen Woning Forfait ten laste van AG">Basisgegevens!$Q$183</definedName>
    <definedName name="BGOEW82aEWF_AP" comment="Post 82a Onverdeeld Eigen Woning Forfait ten laste van AP">Basisgegevens!$P$183</definedName>
    <definedName name="BGOEW83aRente_AG" comment="Post 83a Onverdeeld Eigen Woning Rente Eigen aandeel AG">Basisgegevens!$Q$188</definedName>
    <definedName name="BGOEW83aRente_AP" comment="Post 83a Onverdeeld Eigen Woning Rente Eigen aandeel AP">Basisgegevens!$P$188</definedName>
    <definedName name="BGOEW83aRentePA_AG" comment="Post 83a Onverdeeld Eigen Woning Rente betaald als PA AP">Basisgegevens!$Q$189</definedName>
    <definedName name="BGOEW83aRentePA_AP" comment="Post 83a Onverdeeld Eigen Woning Rente betaald als PA AP">Basisgegevens!$P$189</definedName>
    <definedName name="BGOEW92aEWFPA_AG" comment="Post 92a Onverdeeld Eigen Woning Forfait betaald als PA AG">Basisgegevens!$Q$184</definedName>
    <definedName name="BGOEW92aEWFPA_AP" comment="Post 92a Onverdeeld Eigen Woning Forfait betaald als PA AP">Basisgegevens!$P$184</definedName>
    <definedName name="BGOEWAflossing" comment="Wie betaald de aflossing voor de Onverdeeld Eigen Woning?">Basisgegevens!$P$171</definedName>
    <definedName name="BGOEWDraagkracht" comment="Keuzelijst tussen: Berekenen o.b.v. Draagkracht (Standaaard) of Draagkrachtloos inkomen">Basisgegevens!$P$175</definedName>
    <definedName name="BGOEWErfpacht" comment="Wie betaald post 84 Periodieke betaling erfpacht etc.">Basisgegevens!$P$172</definedName>
    <definedName name="BGOEWEWF" comment="Wat is het Eigen Woning Forfait?">Basisgegevens!$P$168</definedName>
    <definedName name="BGOEWForfaitaireLasten" comment="Wie betaald de fofaitaire eigenaarslasten?">Basisgegevens!$P$173</definedName>
    <definedName name="BGOEWRekenModule" comment="Rekenen met Onverdeeld Eigen Woning Module?">Basisgegevens!$E$165</definedName>
    <definedName name="BGOEWRenteBetaler" comment="Wie betaald de rente?">Basisgegevens!$P$170</definedName>
    <definedName name="BGOEWSituatie1_5" comment="Geeft de situatie aan bij een Onverdeelde Eigen Woning (1 t/m 5)">Basisgegevens!$P$176</definedName>
    <definedName name="BGOEWTotRente" comment="Totale hypotheekrente/jaar">Basisgegevens!$P$169</definedName>
    <definedName name="BGOEWTotSchuld" comment="Totale schuld van de Onverdeeld Eigen Woning">Basisgegevens!$P$174</definedName>
    <definedName name="BGOEWVerlater" comment="Wie heeft de eigen woning verlaten">Basisgegevens!$P$165</definedName>
    <definedName name="BGOEWWoonvergoeding" comment="Te ontvangen woonvergoeding door de verlater van de woning">Basisgegevens!$E$195</definedName>
    <definedName name="BGOppaskostenvoorScheiding">[1]Basisgegevens!$E$280</definedName>
    <definedName name="BGPartnerAG" comment="De alimentatiegerechtigde partner AG">Basisgegevens!$D$4</definedName>
    <definedName name="BGPartnerAP" comment="De alimentatieplichtinge partner PA">Basisgegevens!$C$4</definedName>
    <definedName name="BGZVWJaarInkomen" comment="Maximale inkomen uit arbeid waarover ZVW-premie wordt geheven">Basisgegevens!$C$221</definedName>
    <definedName name="BGZVWPremie" comment="% premie ZVW bij Partner Alimenentatie">Basisgegevens!$C$220</definedName>
    <definedName name="KADraagkrachtTekort" comment="Het bedrag wat er tekort is aan draagkracht">Kinderalimentatie!$U$10</definedName>
    <definedName name="KAEigenAandeel" comment="Eigen aandeel ouders conform NIBUD tabel">Kinderalimentatie!$D$23</definedName>
    <definedName name="KAEigenAandeelAG" comment="Het eigen aandeel in de kosten van de kinderen AG">Kinderalimentatie!$T$41</definedName>
    <definedName name="KAEigenAandeelAP" comment="Het eigen aandeel in de kosten van de kinderen AP">Kinderalimentatie!$P$41</definedName>
    <definedName name="KAKindRekenAantal" comment="Het totaal aantal kinderen waarmee gerekend wordt, het aantal kinderen is max. 4">Kinderalimentatie!$M$11</definedName>
    <definedName name="KAKindTotaalAantal" comment="Werkelijk aantal kinderen onder de 21 jaar">Kinderalimentatie!$L$11</definedName>
    <definedName name="KAKortingDraagkracht" comment="Kortingspercentage als er te weinig draagkracht is">Kinderalimentatie!$U$12</definedName>
    <definedName name="KANBIBerekend" comment="Het berekende Netto Besteedbaar Inkomen van de ouders">Kinderalimentatie!$E$11</definedName>
    <definedName name="KANBIBovengrens" comment="Berekende Maximum Inkomensgrens t.a.v. het NBI">Kinderalimentatie!$E$18</definedName>
    <definedName name="KANBIOndergrens" comment="Berekende Minimum Inkomensgrens t.a.v. het NBI">Kinderalimentatie!$D$18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 i="16" l="1"/>
  <c r="T40" i="8"/>
  <c r="S40" i="8"/>
  <c r="R40" i="8"/>
  <c r="Q40" i="8"/>
  <c r="P40" i="8"/>
  <c r="O40" i="8"/>
  <c r="N40" i="8"/>
  <c r="M40" i="8"/>
  <c r="L40" i="8"/>
  <c r="K40" i="8"/>
  <c r="T39" i="8"/>
  <c r="S39" i="8"/>
  <c r="R39" i="8"/>
  <c r="Q39" i="8"/>
  <c r="P39" i="8"/>
  <c r="O39" i="8"/>
  <c r="N39" i="8"/>
  <c r="M39" i="8"/>
  <c r="L39" i="8"/>
  <c r="K39" i="8"/>
  <c r="T38" i="8"/>
  <c r="S38" i="8"/>
  <c r="R38" i="8"/>
  <c r="Q38" i="8"/>
  <c r="P38" i="8"/>
  <c r="O38" i="8"/>
  <c r="N38" i="8"/>
  <c r="M38" i="8"/>
  <c r="L38" i="8"/>
  <c r="K38" i="8"/>
  <c r="T37" i="8"/>
  <c r="S37" i="8"/>
  <c r="R37" i="8"/>
  <c r="Q37" i="8"/>
  <c r="P37" i="8"/>
  <c r="O37" i="8"/>
  <c r="N37" i="8"/>
  <c r="M37" i="8"/>
  <c r="L37" i="8"/>
  <c r="K37" i="8"/>
  <c r="T36" i="8"/>
  <c r="S36" i="8"/>
  <c r="R36" i="8"/>
  <c r="Q36" i="8"/>
  <c r="P36" i="8"/>
  <c r="O36" i="8"/>
  <c r="N36" i="8"/>
  <c r="M36" i="8"/>
  <c r="L36" i="8"/>
  <c r="K36" i="8"/>
  <c r="T35" i="8"/>
  <c r="S35" i="8"/>
  <c r="R35" i="8"/>
  <c r="Q35" i="8"/>
  <c r="P35" i="8"/>
  <c r="O35" i="8"/>
  <c r="N35" i="8"/>
  <c r="M35" i="8"/>
  <c r="L35" i="8"/>
  <c r="K35" i="8"/>
  <c r="T34" i="8"/>
  <c r="S34" i="8"/>
  <c r="R34" i="8"/>
  <c r="Q34" i="8"/>
  <c r="P34" i="8"/>
  <c r="O34" i="8"/>
  <c r="N34" i="8"/>
  <c r="M34" i="8"/>
  <c r="L34" i="8"/>
  <c r="K34" i="8"/>
  <c r="T33" i="8"/>
  <c r="S33" i="8"/>
  <c r="R33" i="8"/>
  <c r="Q33" i="8"/>
  <c r="P33" i="8"/>
  <c r="O33" i="8"/>
  <c r="N33" i="8"/>
  <c r="M33" i="8"/>
  <c r="L33" i="8"/>
  <c r="K33" i="8"/>
  <c r="T32" i="8"/>
  <c r="S32" i="8"/>
  <c r="R32" i="8"/>
  <c r="Q32" i="8"/>
  <c r="P32" i="8"/>
  <c r="O32" i="8"/>
  <c r="N32" i="8"/>
  <c r="M32" i="8"/>
  <c r="L32" i="8"/>
  <c r="K32" i="8"/>
  <c r="T31" i="8"/>
  <c r="S31" i="8"/>
  <c r="R31" i="8"/>
  <c r="Q31" i="8"/>
  <c r="P31" i="8"/>
  <c r="O31" i="8"/>
  <c r="N31" i="8"/>
  <c r="M31" i="8"/>
  <c r="L31" i="8"/>
  <c r="K31" i="8"/>
  <c r="T30" i="8"/>
  <c r="S30" i="8"/>
  <c r="R30" i="8"/>
  <c r="Q30" i="8"/>
  <c r="P30" i="8"/>
  <c r="O30" i="8"/>
  <c r="N30" i="8"/>
  <c r="M30" i="8"/>
  <c r="L30" i="8"/>
  <c r="K30" i="8"/>
  <c r="T29" i="8"/>
  <c r="S29" i="8"/>
  <c r="R29" i="8"/>
  <c r="Q29" i="8"/>
  <c r="P29" i="8"/>
  <c r="O29" i="8"/>
  <c r="N29" i="8"/>
  <c r="M29" i="8"/>
  <c r="L29" i="8"/>
  <c r="K29" i="8"/>
  <c r="C10" i="8"/>
  <c r="G237" i="6"/>
  <c r="E237" i="6"/>
  <c r="F237" i="6"/>
  <c r="D237" i="6"/>
  <c r="E222" i="6"/>
  <c r="G222" i="6"/>
  <c r="B261" i="6"/>
  <c r="E260" i="6"/>
  <c r="D260" i="6"/>
  <c r="E259" i="6"/>
  <c r="H259" i="6"/>
  <c r="B260" i="6"/>
  <c r="D259" i="6"/>
  <c r="B259" i="6"/>
  <c r="B252" i="6"/>
  <c r="F43" i="8"/>
  <c r="A43" i="8"/>
  <c r="C30" i="8" l="1"/>
  <c r="H13" i="8"/>
  <c r="F33" i="7"/>
  <c r="F35" i="7"/>
  <c r="B81" i="16"/>
  <c r="A81" i="16"/>
  <c r="B80" i="16"/>
  <c r="A80" i="16"/>
  <c r="B48" i="17"/>
  <c r="A48" i="17"/>
  <c r="B50" i="17"/>
  <c r="B49" i="17"/>
  <c r="A49" i="17"/>
  <c r="A50" i="17"/>
  <c r="B232" i="6"/>
  <c r="A232" i="6"/>
  <c r="B233" i="6"/>
  <c r="A233" i="6"/>
  <c r="D123" i="7"/>
  <c r="D232" i="6" s="1"/>
  <c r="E232" i="6" s="1"/>
  <c r="F123" i="7"/>
  <c r="F232" i="6" s="1"/>
  <c r="G232" i="6" s="1"/>
  <c r="B140" i="7"/>
  <c r="B123" i="7"/>
  <c r="H227" i="6"/>
  <c r="F227" i="6"/>
  <c r="D227" i="6"/>
  <c r="G198" i="6" l="1"/>
  <c r="E198" i="6"/>
  <c r="C80" i="16" s="1"/>
  <c r="B170" i="7"/>
  <c r="AD183" i="7"/>
  <c r="AD193" i="7"/>
  <c r="AD188" i="7"/>
  <c r="AD185" i="7"/>
  <c r="E80" i="16" l="1"/>
  <c r="F49" i="17"/>
  <c r="E49" i="17" s="1"/>
  <c r="D16" i="7"/>
  <c r="E3" i="19"/>
  <c r="D3" i="19"/>
  <c r="E139" i="7"/>
  <c r="F283" i="6"/>
  <c r="D283" i="6"/>
  <c r="F77" i="16" l="1"/>
  <c r="B19" i="16"/>
  <c r="B4" i="16"/>
  <c r="B5" i="16"/>
  <c r="F101" i="16"/>
  <c r="D104" i="16"/>
  <c r="B103" i="16"/>
  <c r="B77" i="16"/>
  <c r="A77" i="16"/>
  <c r="A86" i="16"/>
  <c r="A211" i="6"/>
  <c r="A87" i="16" s="1"/>
  <c r="B79" i="16"/>
  <c r="A79" i="16"/>
  <c r="F38" i="16"/>
  <c r="D38" i="16"/>
  <c r="B38" i="16"/>
  <c r="A38" i="16"/>
  <c r="B10" i="16"/>
  <c r="A10" i="16"/>
  <c r="F103" i="16"/>
  <c r="E44" i="19"/>
  <c r="E11" i="16" s="1"/>
  <c r="D44" i="19"/>
  <c r="C11" i="16" s="1"/>
  <c r="F205" i="6"/>
  <c r="F51" i="17" s="1"/>
  <c r="E51" i="17" s="1"/>
  <c r="D77" i="16" l="1"/>
  <c r="B230" i="6"/>
  <c r="A230" i="6"/>
  <c r="B236" i="6"/>
  <c r="A238" i="6"/>
  <c r="A236" i="6"/>
  <c r="D201" i="6"/>
  <c r="B45" i="17" l="1"/>
  <c r="Z109" i="7"/>
  <c r="Y109" i="7"/>
  <c r="Z106" i="7"/>
  <c r="Y106" i="7"/>
  <c r="Z100" i="7"/>
  <c r="Y100" i="7"/>
  <c r="Z97" i="7"/>
  <c r="Y97" i="7"/>
  <c r="AA3" i="7"/>
  <c r="Z3" i="7"/>
  <c r="B282" i="6"/>
  <c r="E190" i="7"/>
  <c r="E188" i="7"/>
  <c r="E187" i="7"/>
  <c r="E186" i="7"/>
  <c r="E8" i="19" s="1"/>
  <c r="E177" i="7"/>
  <c r="D13" i="19" s="1"/>
  <c r="E175" i="7"/>
  <c r="E174" i="7"/>
  <c r="E173" i="7"/>
  <c r="D8" i="19" s="1"/>
  <c r="G42" i="6"/>
  <c r="E198" i="7"/>
  <c r="F198" i="7"/>
  <c r="B8" i="19"/>
  <c r="B13" i="19"/>
  <c r="M171" i="7"/>
  <c r="B164" i="6"/>
  <c r="B101" i="6"/>
  <c r="D177" i="7"/>
  <c r="B200" i="7"/>
  <c r="B201" i="7"/>
  <c r="B203" i="7"/>
  <c r="B204" i="7"/>
  <c r="B281" i="6"/>
  <c r="B280" i="6"/>
  <c r="A122" i="6"/>
  <c r="B173" i="6"/>
  <c r="B172" i="6"/>
  <c r="O209" i="7"/>
  <c r="W208" i="7"/>
  <c r="V208" i="7"/>
  <c r="U208" i="7"/>
  <c r="T208" i="7"/>
  <c r="A164" i="6"/>
  <c r="B160" i="6"/>
  <c r="M173" i="7"/>
  <c r="E26" i="19"/>
  <c r="D26" i="19"/>
  <c r="D103" i="16" l="1"/>
  <c r="D101" i="6"/>
  <c r="A205" i="6" l="1"/>
  <c r="B195" i="6"/>
  <c r="D288" i="7"/>
  <c r="B61" i="17"/>
  <c r="A60" i="17"/>
  <c r="B60" i="17"/>
  <c r="A82" i="16" l="1"/>
  <c r="A51" i="17"/>
  <c r="A231" i="6"/>
  <c r="H274" i="6"/>
  <c r="C79" i="7"/>
  <c r="F48" i="6"/>
  <c r="D48" i="6"/>
  <c r="F210" i="7"/>
  <c r="F209" i="7"/>
  <c r="D210" i="7"/>
  <c r="D209" i="7"/>
  <c r="D137" i="7"/>
  <c r="D140" i="7"/>
  <c r="D138" i="7"/>
  <c r="F140" i="7"/>
  <c r="F138" i="7"/>
  <c r="F137" i="7"/>
  <c r="D132" i="7"/>
  <c r="D128" i="7"/>
  <c r="F132" i="7"/>
  <c r="F128" i="7"/>
  <c r="F122" i="7"/>
  <c r="F120" i="7"/>
  <c r="F119" i="7"/>
  <c r="D122" i="7"/>
  <c r="D120" i="7"/>
  <c r="D119" i="7"/>
  <c r="D233" i="6" l="1"/>
  <c r="E199" i="6"/>
  <c r="C81" i="16" s="1"/>
  <c r="F233" i="6"/>
  <c r="G199" i="6"/>
  <c r="T92" i="7"/>
  <c r="Q92" i="7"/>
  <c r="T84" i="7"/>
  <c r="Q84" i="7"/>
  <c r="E81" i="16" l="1"/>
  <c r="F50" i="17"/>
  <c r="E50" i="17" s="1"/>
  <c r="A4" i="16"/>
  <c r="E3" i="16"/>
  <c r="C3" i="16"/>
  <c r="A5" i="16"/>
  <c r="A15" i="17"/>
  <c r="B15" i="17"/>
  <c r="A19" i="16"/>
  <c r="E7" i="16"/>
  <c r="C7" i="16"/>
  <c r="A8" i="16" l="1"/>
  <c r="D323" i="7"/>
  <c r="C323" i="7"/>
  <c r="D322" i="7"/>
  <c r="C322" i="7"/>
  <c r="D321" i="7"/>
  <c r="C321" i="7"/>
  <c r="D320" i="7"/>
  <c r="C320" i="7"/>
  <c r="D319" i="7"/>
  <c r="C319" i="7"/>
  <c r="D318" i="7"/>
  <c r="C318" i="7"/>
  <c r="C317" i="7"/>
  <c r="C316" i="7"/>
  <c r="C315" i="7"/>
  <c r="C314" i="7"/>
  <c r="C313" i="7"/>
  <c r="C312" i="7"/>
  <c r="B19" i="8" l="1"/>
  <c r="Q24" i="8" l="1"/>
  <c r="M24" i="8"/>
  <c r="I40" i="8"/>
  <c r="I39" i="8"/>
  <c r="I38" i="8"/>
  <c r="I37" i="8"/>
  <c r="I36" i="8"/>
  <c r="I35" i="8"/>
  <c r="I34" i="8"/>
  <c r="I33" i="8"/>
  <c r="I32" i="8"/>
  <c r="I31" i="8"/>
  <c r="I30" i="8"/>
  <c r="I29" i="8"/>
  <c r="T7" i="8" l="1"/>
  <c r="T6" i="8"/>
  <c r="P176" i="7" l="1"/>
  <c r="B153" i="6"/>
  <c r="B163" i="6"/>
  <c r="B152" i="6"/>
  <c r="B159" i="6"/>
  <c r="B151" i="6"/>
  <c r="B158" i="6"/>
  <c r="T180" i="7" l="1"/>
  <c r="U191" i="7"/>
  <c r="U187" i="7"/>
  <c r="U183" i="7"/>
  <c r="T190" i="7"/>
  <c r="T186" i="7"/>
  <c r="U182" i="7"/>
  <c r="T179" i="7"/>
  <c r="U190" i="7"/>
  <c r="U186" i="7"/>
  <c r="T189" i="7"/>
  <c r="T182" i="7"/>
  <c r="U193" i="7"/>
  <c r="U189" i="7"/>
  <c r="U185" i="7"/>
  <c r="T192" i="7"/>
  <c r="T184" i="7"/>
  <c r="U192" i="7"/>
  <c r="U188" i="7"/>
  <c r="U184" i="7"/>
  <c r="T191" i="7"/>
  <c r="T187" i="7"/>
  <c r="D165" i="6"/>
  <c r="P209" i="7"/>
  <c r="Q209" i="7"/>
  <c r="P208" i="7"/>
  <c r="O208" i="7"/>
  <c r="E158" i="6"/>
  <c r="T209" i="7" s="1"/>
  <c r="G158" i="6"/>
  <c r="U209" i="7" s="1"/>
  <c r="B17" i="13"/>
  <c r="B16" i="13"/>
  <c r="B15" i="13"/>
  <c r="B41" i="13"/>
  <c r="B40" i="13"/>
  <c r="B39" i="13"/>
  <c r="B38" i="13"/>
  <c r="B37" i="13"/>
  <c r="B36" i="13"/>
  <c r="B35" i="13"/>
  <c r="B34" i="13"/>
  <c r="B33" i="13"/>
  <c r="B32" i="13"/>
  <c r="B31" i="13"/>
  <c r="B30" i="13"/>
  <c r="B29" i="13"/>
  <c r="B28" i="13"/>
  <c r="B27" i="13"/>
  <c r="B26" i="13"/>
  <c r="B25" i="13"/>
  <c r="B24" i="13"/>
  <c r="B23" i="13"/>
  <c r="B22" i="13"/>
  <c r="K33" i="13"/>
  <c r="M33" i="13" s="1"/>
  <c r="K32" i="13"/>
  <c r="M32" i="13" s="1"/>
  <c r="K31" i="13"/>
  <c r="M31" i="13" s="1"/>
  <c r="K30" i="13"/>
  <c r="M30" i="13" s="1"/>
  <c r="K29" i="13"/>
  <c r="M29" i="13" s="1"/>
  <c r="K28" i="13"/>
  <c r="L28" i="13" s="1"/>
  <c r="K27" i="13"/>
  <c r="K26" i="13"/>
  <c r="L26" i="13" s="1"/>
  <c r="K25" i="13"/>
  <c r="K24" i="13"/>
  <c r="K23" i="13"/>
  <c r="K22" i="13"/>
  <c r="L15" i="13"/>
  <c r="L16" i="13"/>
  <c r="H41" i="13"/>
  <c r="H34" i="13"/>
  <c r="H27" i="13"/>
  <c r="H26" i="13"/>
  <c r="G41" i="13"/>
  <c r="G40" i="13"/>
  <c r="F41" i="13"/>
  <c r="F27" i="13"/>
  <c r="F26" i="13"/>
  <c r="E41" i="13"/>
  <c r="E40" i="13"/>
  <c r="B11" i="19"/>
  <c r="A11" i="19"/>
  <c r="B10" i="19"/>
  <c r="A10" i="19"/>
  <c r="E19" i="19"/>
  <c r="D19" i="19"/>
  <c r="E6" i="19"/>
  <c r="D6" i="19"/>
  <c r="D392" i="7"/>
  <c r="D390" i="7"/>
  <c r="D386" i="7"/>
  <c r="D385" i="7"/>
  <c r="D380" i="7"/>
  <c r="D379" i="7"/>
  <c r="C236" i="7"/>
  <c r="N315" i="7"/>
  <c r="F189" i="7"/>
  <c r="F176" i="7"/>
  <c r="D66" i="7"/>
  <c r="D63" i="7"/>
  <c r="D60" i="7"/>
  <c r="D58" i="7"/>
  <c r="D57" i="7"/>
  <c r="D56" i="7"/>
  <c r="D64" i="7" s="1"/>
  <c r="D50" i="7"/>
  <c r="D47" i="7"/>
  <c r="D44" i="7"/>
  <c r="D42" i="7"/>
  <c r="D41" i="7"/>
  <c r="D40" i="7"/>
  <c r="D49" i="7" s="1"/>
  <c r="F50" i="7"/>
  <c r="F47" i="7"/>
  <c r="F44" i="7"/>
  <c r="F42" i="7"/>
  <c r="F41" i="7"/>
  <c r="F40" i="7"/>
  <c r="F49" i="7" s="1"/>
  <c r="F63" i="7"/>
  <c r="F60" i="7"/>
  <c r="F58" i="7"/>
  <c r="F57" i="7"/>
  <c r="F56" i="7"/>
  <c r="F65" i="7" s="1"/>
  <c r="F66" i="7" s="1"/>
  <c r="B96" i="6"/>
  <c r="V209" i="7" l="1"/>
  <c r="W209" i="7"/>
  <c r="R209" i="7"/>
  <c r="D61" i="7"/>
  <c r="L22" i="13"/>
  <c r="L27" i="13"/>
  <c r="L29" i="13"/>
  <c r="L30" i="13"/>
  <c r="L23" i="13"/>
  <c r="L31" i="13"/>
  <c r="L24" i="13"/>
  <c r="L32" i="13"/>
  <c r="M28" i="13"/>
  <c r="L25" i="13"/>
  <c r="L33" i="13"/>
  <c r="F45" i="7"/>
  <c r="F48" i="7"/>
  <c r="D43" i="7"/>
  <c r="D48" i="7"/>
  <c r="D45" i="7"/>
  <c r="D7" i="6" s="1"/>
  <c r="D65" i="7"/>
  <c r="F61" i="7"/>
  <c r="F64" i="7"/>
  <c r="C7" i="17"/>
  <c r="C6" i="17"/>
  <c r="F2" i="6"/>
  <c r="D2" i="6"/>
  <c r="F14" i="13"/>
  <c r="E14" i="13"/>
  <c r="G21" i="13"/>
  <c r="E21" i="13"/>
  <c r="C53" i="16"/>
  <c r="A52" i="16"/>
  <c r="A51" i="16"/>
  <c r="A50" i="16"/>
  <c r="A47" i="16"/>
  <c r="A46" i="16"/>
  <c r="A45" i="16"/>
  <c r="A44" i="16"/>
  <c r="B53" i="16"/>
  <c r="B52" i="16"/>
  <c r="B51" i="16"/>
  <c r="B47" i="16"/>
  <c r="B46" i="16"/>
  <c r="B45" i="16"/>
  <c r="B44" i="16"/>
  <c r="J27" i="16"/>
  <c r="I27" i="16"/>
  <c r="D101" i="16"/>
  <c r="B101" i="16"/>
  <c r="A101" i="16"/>
  <c r="E43" i="16"/>
  <c r="E65" i="16"/>
  <c r="E75" i="16"/>
  <c r="E92" i="16"/>
  <c r="C92" i="16"/>
  <c r="C75" i="16"/>
  <c r="C65" i="16"/>
  <c r="C43" i="16"/>
  <c r="W3" i="7"/>
  <c r="V3" i="7"/>
  <c r="K16" i="13"/>
  <c r="K15" i="13"/>
  <c r="G29" i="13"/>
  <c r="E29" i="13"/>
  <c r="C56" i="16"/>
  <c r="A53" i="16"/>
  <c r="F40" i="16"/>
  <c r="F7" i="6" l="1"/>
  <c r="M27" i="13"/>
  <c r="M26" i="13"/>
  <c r="M25" i="13"/>
  <c r="M24" i="13"/>
  <c r="M22" i="13"/>
  <c r="M23" i="13"/>
  <c r="F36" i="16"/>
  <c r="B37" i="16"/>
  <c r="A37" i="16"/>
  <c r="D36" i="16"/>
  <c r="B36" i="16"/>
  <c r="A36" i="16"/>
  <c r="B34" i="16" l="1"/>
  <c r="A34" i="16"/>
  <c r="B33" i="16"/>
  <c r="A33" i="16"/>
  <c r="B31" i="16"/>
  <c r="A31" i="16"/>
  <c r="B29" i="16"/>
  <c r="A29" i="16"/>
  <c r="B28" i="16"/>
  <c r="A28" i="16"/>
  <c r="F30" i="16"/>
  <c r="D30" i="16"/>
  <c r="E27" i="16"/>
  <c r="C27" i="16"/>
  <c r="E180" i="6" l="1"/>
  <c r="H31" i="6"/>
  <c r="D85" i="7"/>
  <c r="B205" i="6"/>
  <c r="B82" i="16" s="1"/>
  <c r="H13" i="6"/>
  <c r="S83" i="7"/>
  <c r="S82" i="7"/>
  <c r="S91" i="7"/>
  <c r="S90" i="7"/>
  <c r="S116" i="7"/>
  <c r="S125" i="7"/>
  <c r="S135" i="7"/>
  <c r="S136" i="7"/>
  <c r="S145" i="7"/>
  <c r="S144" i="7"/>
  <c r="B373" i="7"/>
  <c r="D311" i="7"/>
  <c r="O294" i="7"/>
  <c r="D294" i="7"/>
  <c r="D285" i="7"/>
  <c r="D279" i="7"/>
  <c r="D267" i="7"/>
  <c r="D257" i="7"/>
  <c r="D246" i="7"/>
  <c r="D239" i="7"/>
  <c r="D232" i="7"/>
  <c r="D229" i="7"/>
  <c r="D226" i="7"/>
  <c r="R208" i="7"/>
  <c r="E206" i="7"/>
  <c r="F202" i="7"/>
  <c r="E182" i="7"/>
  <c r="Q181" i="7"/>
  <c r="F169" i="7"/>
  <c r="E154" i="7"/>
  <c r="E148" i="7"/>
  <c r="E143" i="7"/>
  <c r="R143" i="7"/>
  <c r="E134" i="7"/>
  <c r="U134" i="7"/>
  <c r="R134" i="7"/>
  <c r="E125" i="7"/>
  <c r="U124" i="7"/>
  <c r="R124" i="7"/>
  <c r="E116" i="7"/>
  <c r="U115" i="7"/>
  <c r="R115" i="7"/>
  <c r="X106" i="7"/>
  <c r="V106" i="7"/>
  <c r="U106" i="7"/>
  <c r="R106" i="7"/>
  <c r="E105" i="7"/>
  <c r="X97" i="7"/>
  <c r="V97" i="7"/>
  <c r="U97" i="7"/>
  <c r="R97" i="7"/>
  <c r="E94" i="7"/>
  <c r="V88" i="7"/>
  <c r="U88" i="7"/>
  <c r="R88" i="7"/>
  <c r="E83" i="7"/>
  <c r="V80" i="7"/>
  <c r="U80" i="7"/>
  <c r="R80" i="7"/>
  <c r="E76" i="7"/>
  <c r="R55" i="7"/>
  <c r="E53" i="7"/>
  <c r="E37" i="7"/>
  <c r="R37" i="7"/>
  <c r="E31" i="7"/>
  <c r="R30" i="7"/>
  <c r="E24" i="7"/>
  <c r="R22" i="7"/>
  <c r="R15" i="7"/>
  <c r="X3" i="7"/>
  <c r="U3" i="7"/>
  <c r="R3" i="7"/>
  <c r="T3" i="7"/>
  <c r="N3" i="7"/>
  <c r="B350" i="7"/>
  <c r="C311" i="7"/>
  <c r="N294" i="7"/>
  <c r="C294" i="7"/>
  <c r="C285" i="7"/>
  <c r="C279" i="7"/>
  <c r="C267" i="7"/>
  <c r="C257" i="7"/>
  <c r="C246" i="7"/>
  <c r="C239" i="7"/>
  <c r="C232" i="7"/>
  <c r="C229" i="7"/>
  <c r="C226" i="7"/>
  <c r="Q208" i="7"/>
  <c r="C206" i="7"/>
  <c r="E202" i="7"/>
  <c r="F182" i="7"/>
  <c r="P181" i="7"/>
  <c r="E169" i="7"/>
  <c r="D154" i="7"/>
  <c r="D148" i="7"/>
  <c r="D143" i="7"/>
  <c r="Q143" i="7"/>
  <c r="C134" i="7"/>
  <c r="T134" i="7"/>
  <c r="Q134" i="7"/>
  <c r="C125" i="7"/>
  <c r="T124" i="7"/>
  <c r="Q124" i="7"/>
  <c r="C116" i="7"/>
  <c r="T115" i="7"/>
  <c r="Q115" i="7"/>
  <c r="W106" i="7"/>
  <c r="T106" i="7"/>
  <c r="Q106" i="7"/>
  <c r="C105" i="7"/>
  <c r="W97" i="7"/>
  <c r="T97" i="7"/>
  <c r="Q97" i="7"/>
  <c r="C94" i="7"/>
  <c r="T88" i="7"/>
  <c r="Q88" i="7"/>
  <c r="C83" i="7"/>
  <c r="T80" i="7"/>
  <c r="Q80" i="7"/>
  <c r="C76" i="7"/>
  <c r="Q55" i="7"/>
  <c r="C53" i="7"/>
  <c r="C37" i="7"/>
  <c r="Q37" i="7"/>
  <c r="C31" i="7"/>
  <c r="Q30" i="7"/>
  <c r="C24" i="7"/>
  <c r="Q22" i="7"/>
  <c r="Q15" i="7"/>
  <c r="B21" i="7"/>
  <c r="G113" i="6"/>
  <c r="G116" i="6" s="1"/>
  <c r="E113" i="6"/>
  <c r="E116" i="6" s="1"/>
  <c r="G163" i="6"/>
  <c r="G166" i="6" s="1"/>
  <c r="F127" i="6"/>
  <c r="D127" i="6"/>
  <c r="F201" i="6"/>
  <c r="B207" i="6"/>
  <c r="B84" i="16" s="1"/>
  <c r="A207" i="6"/>
  <c r="B211" i="6"/>
  <c r="A239" i="6"/>
  <c r="B210" i="6"/>
  <c r="B209" i="6"/>
  <c r="B85" i="16" s="1"/>
  <c r="A209" i="6"/>
  <c r="B206" i="6"/>
  <c r="B83" i="16" s="1"/>
  <c r="A206" i="6"/>
  <c r="A196" i="6"/>
  <c r="A195" i="6"/>
  <c r="B196" i="6"/>
  <c r="B169" i="6"/>
  <c r="G165" i="6"/>
  <c r="F165" i="6"/>
  <c r="E165" i="6"/>
  <c r="A160" i="6"/>
  <c r="B122" i="6"/>
  <c r="F307" i="7"/>
  <c r="A85" i="16" l="1"/>
  <c r="A54" i="17"/>
  <c r="A84" i="16"/>
  <c r="A53" i="17"/>
  <c r="B239" i="6"/>
  <c r="B87" i="16"/>
  <c r="A52" i="17"/>
  <c r="A83" i="16"/>
  <c r="B238" i="6"/>
  <c r="B86" i="16"/>
  <c r="A237" i="6"/>
  <c r="B231" i="6"/>
  <c r="B51" i="17"/>
  <c r="B237" i="6"/>
  <c r="B54" i="17"/>
  <c r="A235" i="6"/>
  <c r="A234" i="6"/>
  <c r="A46" i="17" s="1"/>
  <c r="B235" i="6"/>
  <c r="B53" i="17"/>
  <c r="B234" i="6"/>
  <c r="B46" i="17" s="1"/>
  <c r="B52" i="17"/>
  <c r="U211" i="7"/>
  <c r="W211" i="7" s="1"/>
  <c r="P179" i="7"/>
  <c r="E167" i="7"/>
  <c r="Q179" i="7"/>
  <c r="F167" i="7"/>
  <c r="F66" i="6"/>
  <c r="F17" i="17" s="1"/>
  <c r="F47" i="6"/>
  <c r="F50" i="6" s="1"/>
  <c r="F49" i="6"/>
  <c r="D49" i="6"/>
  <c r="D47" i="6"/>
  <c r="D50" i="6" s="1"/>
  <c r="D91" i="7"/>
  <c r="D90" i="7"/>
  <c r="D89" i="7"/>
  <c r="D88" i="7"/>
  <c r="D87" i="7"/>
  <c r="D86" i="7"/>
  <c r="D92" i="7"/>
  <c r="D103" i="7"/>
  <c r="D102" i="7"/>
  <c r="D101" i="7"/>
  <c r="D100" i="7"/>
  <c r="D99" i="7"/>
  <c r="D98" i="7"/>
  <c r="D97" i="7"/>
  <c r="D96" i="7"/>
  <c r="F103" i="7"/>
  <c r="F102" i="7"/>
  <c r="F101" i="7"/>
  <c r="F100" i="7"/>
  <c r="F99" i="7"/>
  <c r="F98" i="7"/>
  <c r="F97" i="7"/>
  <c r="F96" i="7"/>
  <c r="F92" i="7"/>
  <c r="F114" i="7" s="1"/>
  <c r="F91" i="7"/>
  <c r="F113" i="7" s="1"/>
  <c r="F90" i="7"/>
  <c r="F112" i="7" s="1"/>
  <c r="F89" i="7"/>
  <c r="F111" i="7" s="1"/>
  <c r="F88" i="7"/>
  <c r="F87" i="7"/>
  <c r="F109" i="7" s="1"/>
  <c r="F86" i="7"/>
  <c r="F85" i="7"/>
  <c r="F107" i="7" s="1"/>
  <c r="A124" i="6"/>
  <c r="B124" i="6"/>
  <c r="V188" i="7"/>
  <c r="X188" i="7"/>
  <c r="Z188" i="7"/>
  <c r="T188" i="7" s="1"/>
  <c r="AB188" i="7"/>
  <c r="S182" i="7"/>
  <c r="B102" i="16"/>
  <c r="A282" i="6"/>
  <c r="A102" i="16" s="1"/>
  <c r="B90" i="6"/>
  <c r="B49" i="16" s="1"/>
  <c r="B89" i="6"/>
  <c r="B48" i="16" s="1"/>
  <c r="B95" i="6"/>
  <c r="B98" i="6"/>
  <c r="B99" i="6"/>
  <c r="B114" i="6"/>
  <c r="A114" i="6"/>
  <c r="A90" i="6"/>
  <c r="A49" i="16" s="1"/>
  <c r="A89" i="6"/>
  <c r="A48" i="16" s="1"/>
  <c r="A99" i="6"/>
  <c r="A98" i="6"/>
  <c r="A95" i="6"/>
  <c r="S192" i="7"/>
  <c r="S191" i="7"/>
  <c r="S190" i="7"/>
  <c r="S186" i="7"/>
  <c r="S193" i="7"/>
  <c r="S185" i="7"/>
  <c r="S184" i="7"/>
  <c r="S189" i="7"/>
  <c r="S188" i="7"/>
  <c r="S183" i="7"/>
  <c r="S187" i="7"/>
  <c r="AB193" i="7"/>
  <c r="AB185" i="7"/>
  <c r="Z193" i="7"/>
  <c r="T193" i="7" s="1"/>
  <c r="Z185" i="7"/>
  <c r="T185" i="7" s="1"/>
  <c r="X193" i="7"/>
  <c r="X185" i="7"/>
  <c r="V193" i="7"/>
  <c r="V185" i="7"/>
  <c r="AB183" i="7"/>
  <c r="Z183" i="7"/>
  <c r="T183" i="7" s="1"/>
  <c r="X183" i="7"/>
  <c r="V183" i="7"/>
  <c r="P169" i="7"/>
  <c r="P167" i="7"/>
  <c r="R3" i="9"/>
  <c r="R2" i="9"/>
  <c r="D66" i="6"/>
  <c r="E130" i="7"/>
  <c r="F130" i="7" s="1"/>
  <c r="C130" i="7"/>
  <c r="D130" i="7" s="1"/>
  <c r="B136" i="6"/>
  <c r="E193" i="7" l="1"/>
  <c r="D220" i="6" s="1"/>
  <c r="F37" i="6"/>
  <c r="F230" i="6"/>
  <c r="G230" i="6" s="1"/>
  <c r="G197" i="6"/>
  <c r="B195" i="7"/>
  <c r="F108" i="7"/>
  <c r="F30" i="6" s="1"/>
  <c r="P188" i="7"/>
  <c r="D10" i="19" s="1"/>
  <c r="D88" i="6"/>
  <c r="F88" i="6"/>
  <c r="F1" i="6"/>
  <c r="D9" i="19"/>
  <c r="D1" i="6"/>
  <c r="T2" i="7"/>
  <c r="U2" i="7"/>
  <c r="A20" i="17"/>
  <c r="B21" i="17"/>
  <c r="A21" i="17"/>
  <c r="B20" i="17"/>
  <c r="F110" i="7"/>
  <c r="A54" i="16"/>
  <c r="B54" i="16"/>
  <c r="B42" i="13"/>
  <c r="D176" i="7"/>
  <c r="D109" i="7"/>
  <c r="D110" i="7"/>
  <c r="D111" i="7"/>
  <c r="D107" i="7"/>
  <c r="D114" i="7"/>
  <c r="D108" i="7"/>
  <c r="D113" i="7"/>
  <c r="D37" i="6" s="1"/>
  <c r="D112" i="7"/>
  <c r="D93" i="6"/>
  <c r="E93" i="6"/>
  <c r="F93" i="6"/>
  <c r="G93" i="6"/>
  <c r="T178" i="7"/>
  <c r="P189" i="7"/>
  <c r="B49" i="7"/>
  <c r="B65" i="7"/>
  <c r="B392" i="7"/>
  <c r="B390" i="7"/>
  <c r="B387" i="7"/>
  <c r="B386" i="7"/>
  <c r="B381" i="7"/>
  <c r="B380" i="7"/>
  <c r="B369" i="7"/>
  <c r="B367" i="7"/>
  <c r="B364" i="7"/>
  <c r="B363" i="7"/>
  <c r="B358" i="7"/>
  <c r="B357" i="7"/>
  <c r="H347" i="7"/>
  <c r="H346" i="7"/>
  <c r="H345" i="7"/>
  <c r="H344" i="7"/>
  <c r="H342" i="7"/>
  <c r="H341" i="7"/>
  <c r="H340" i="7"/>
  <c r="H338" i="7"/>
  <c r="H337" i="7"/>
  <c r="H336" i="7"/>
  <c r="H334" i="7"/>
  <c r="H333" i="7"/>
  <c r="H332" i="7"/>
  <c r="I324" i="7"/>
  <c r="I323" i="7" s="1"/>
  <c r="J323" i="7" s="1"/>
  <c r="E323" i="7"/>
  <c r="B323" i="7"/>
  <c r="E322" i="7"/>
  <c r="B322" i="7"/>
  <c r="E321" i="7"/>
  <c r="B321" i="7"/>
  <c r="E320" i="7"/>
  <c r="B320" i="7"/>
  <c r="E319" i="7"/>
  <c r="B319" i="7"/>
  <c r="E318" i="7"/>
  <c r="B318" i="7"/>
  <c r="E317" i="7"/>
  <c r="D317" i="7" s="1"/>
  <c r="B317" i="7"/>
  <c r="E316" i="7"/>
  <c r="D316" i="7" s="1"/>
  <c r="B316" i="7"/>
  <c r="E315" i="7"/>
  <c r="D315" i="7" s="1"/>
  <c r="B315" i="7"/>
  <c r="E314" i="7"/>
  <c r="D314" i="7" s="1"/>
  <c r="B314" i="7"/>
  <c r="E313" i="7"/>
  <c r="D313" i="7" s="1"/>
  <c r="B313" i="7"/>
  <c r="E312" i="7"/>
  <c r="D312" i="7" s="1"/>
  <c r="B312" i="7"/>
  <c r="E311" i="7"/>
  <c r="D307" i="7"/>
  <c r="C307" i="7"/>
  <c r="E286" i="7"/>
  <c r="E281" i="7"/>
  <c r="B281" i="7"/>
  <c r="E280" i="7"/>
  <c r="B280" i="7"/>
  <c r="E263" i="7"/>
  <c r="E262" i="7"/>
  <c r="B262" i="7" s="1"/>
  <c r="E261" i="7"/>
  <c r="B261" i="7" s="1"/>
  <c r="E260" i="7"/>
  <c r="B260" i="7" s="1"/>
  <c r="E259" i="7"/>
  <c r="B259" i="7" s="1"/>
  <c r="B258" i="7"/>
  <c r="E253" i="7"/>
  <c r="E252" i="7"/>
  <c r="B252" i="7" s="1"/>
  <c r="E251" i="7"/>
  <c r="B251" i="7" s="1"/>
  <c r="E250" i="7"/>
  <c r="B250" i="7" s="1"/>
  <c r="E249" i="7"/>
  <c r="B249" i="7" s="1"/>
  <c r="E248" i="7"/>
  <c r="B248" i="7" s="1"/>
  <c r="B247" i="7"/>
  <c r="D241" i="7"/>
  <c r="C241" i="7"/>
  <c r="D236" i="7"/>
  <c r="E211" i="7"/>
  <c r="C211" i="7"/>
  <c r="E208" i="7"/>
  <c r="C208" i="7"/>
  <c r="D189" i="7"/>
  <c r="D187" i="7"/>
  <c r="B183" i="7"/>
  <c r="M172" i="7"/>
  <c r="D174" i="7"/>
  <c r="E160" i="7"/>
  <c r="D160" i="7"/>
  <c r="E151" i="7"/>
  <c r="D151" i="7"/>
  <c r="C139" i="7"/>
  <c r="E136" i="7"/>
  <c r="C136" i="7"/>
  <c r="C131" i="7"/>
  <c r="E127" i="7"/>
  <c r="C127" i="7"/>
  <c r="E121" i="7"/>
  <c r="C121" i="7"/>
  <c r="E118" i="7"/>
  <c r="C118" i="7"/>
  <c r="E114" i="7"/>
  <c r="C114" i="7"/>
  <c r="E113" i="7"/>
  <c r="C113" i="7"/>
  <c r="E112" i="7"/>
  <c r="C112" i="7"/>
  <c r="E111" i="7"/>
  <c r="C111" i="7"/>
  <c r="E110" i="7"/>
  <c r="C110" i="7"/>
  <c r="E109" i="7"/>
  <c r="C109" i="7"/>
  <c r="E108" i="7"/>
  <c r="C108" i="7"/>
  <c r="E107" i="7"/>
  <c r="C107" i="7"/>
  <c r="E79" i="7"/>
  <c r="F79" i="7" s="1"/>
  <c r="F17" i="6" s="1"/>
  <c r="D79" i="7"/>
  <c r="D17" i="6" s="1"/>
  <c r="E59" i="7"/>
  <c r="C59" i="7"/>
  <c r="E55" i="7"/>
  <c r="E95" i="7" s="1"/>
  <c r="C55" i="7"/>
  <c r="C95" i="7" s="1"/>
  <c r="E70" i="7"/>
  <c r="C70" i="7"/>
  <c r="C17" i="7"/>
  <c r="B270" i="7" s="1"/>
  <c r="B263" i="7" l="1"/>
  <c r="H252" i="6"/>
  <c r="G200" i="6"/>
  <c r="F48" i="17"/>
  <c r="E48" i="17" s="1"/>
  <c r="E79" i="16"/>
  <c r="E7" i="19"/>
  <c r="F220" i="6"/>
  <c r="D7" i="19"/>
  <c r="B215" i="7"/>
  <c r="B271" i="7"/>
  <c r="E189" i="7"/>
  <c r="F97" i="6" s="1"/>
  <c r="D230" i="6"/>
  <c r="E230" i="6" s="1"/>
  <c r="E197" i="6"/>
  <c r="E200" i="6" s="1"/>
  <c r="E176" i="7"/>
  <c r="D97" i="6" s="1"/>
  <c r="F101" i="6"/>
  <c r="E13" i="19"/>
  <c r="M72" i="7"/>
  <c r="M67" i="7"/>
  <c r="D70" i="6"/>
  <c r="B253" i="7"/>
  <c r="H277" i="6"/>
  <c r="N301" i="7"/>
  <c r="J13" i="8" s="1"/>
  <c r="O301" i="7"/>
  <c r="K13" i="8" s="1"/>
  <c r="B157" i="6"/>
  <c r="D99" i="6"/>
  <c r="B180" i="7"/>
  <c r="M199" i="7"/>
  <c r="L204" i="7"/>
  <c r="D72" i="6"/>
  <c r="E9" i="19"/>
  <c r="B275" i="7"/>
  <c r="M79" i="7"/>
  <c r="R58" i="7"/>
  <c r="Q58" i="7"/>
  <c r="R56" i="7"/>
  <c r="F38" i="17" s="1"/>
  <c r="Q56" i="7"/>
  <c r="M87" i="7"/>
  <c r="N6" i="7"/>
  <c r="R6" i="7"/>
  <c r="B221" i="7"/>
  <c r="B201" i="6" s="1"/>
  <c r="D8" i="6"/>
  <c r="D30" i="6"/>
  <c r="D98" i="6"/>
  <c r="P192" i="7"/>
  <c r="P190" i="7"/>
  <c r="D211" i="6" s="1"/>
  <c r="P187" i="7"/>
  <c r="C49" i="16" s="1"/>
  <c r="P193" i="7"/>
  <c r="D164" i="6" s="1"/>
  <c r="P191" i="7"/>
  <c r="D11" i="19" s="1"/>
  <c r="Q191" i="7"/>
  <c r="E11" i="19" s="1"/>
  <c r="Q190" i="7"/>
  <c r="F211" i="6" s="1"/>
  <c r="Q192" i="7"/>
  <c r="Q193" i="7"/>
  <c r="Q187" i="7"/>
  <c r="E49" i="16" s="1"/>
  <c r="Q188" i="7"/>
  <c r="E10" i="19" s="1"/>
  <c r="Q189" i="7"/>
  <c r="B286" i="7"/>
  <c r="B216" i="7"/>
  <c r="I318" i="7"/>
  <c r="J318" i="7" s="1"/>
  <c r="I313" i="7"/>
  <c r="J313" i="7" s="1"/>
  <c r="I315" i="7"/>
  <c r="J315" i="7" s="1"/>
  <c r="I317" i="7"/>
  <c r="J317" i="7" s="1"/>
  <c r="I322" i="7"/>
  <c r="J322" i="7" s="1"/>
  <c r="I314" i="7"/>
  <c r="J314" i="7" s="1"/>
  <c r="I319" i="7"/>
  <c r="J319" i="7" s="1"/>
  <c r="I321" i="7"/>
  <c r="J321" i="7" s="1"/>
  <c r="D211" i="7"/>
  <c r="D221" i="6" s="1"/>
  <c r="E221" i="6" s="1"/>
  <c r="F211" i="7"/>
  <c r="F221" i="6" s="1"/>
  <c r="G221" i="6" s="1"/>
  <c r="D59" i="7"/>
  <c r="D121" i="7"/>
  <c r="F139" i="7"/>
  <c r="F121" i="7"/>
  <c r="F198" i="6" s="1"/>
  <c r="E131" i="7"/>
  <c r="F59" i="7"/>
  <c r="D139" i="7"/>
  <c r="F131" i="7"/>
  <c r="F16" i="6" s="1"/>
  <c r="I312" i="7"/>
  <c r="J312" i="7" s="1"/>
  <c r="I316" i="7"/>
  <c r="J316" i="7" s="1"/>
  <c r="I320" i="7"/>
  <c r="J320" i="7" s="1"/>
  <c r="L13" i="8" l="1"/>
  <c r="F20" i="6"/>
  <c r="F199" i="6"/>
  <c r="D20" i="6"/>
  <c r="D199" i="6"/>
  <c r="D198" i="6"/>
  <c r="D15" i="6"/>
  <c r="D197" i="6"/>
  <c r="C79" i="16"/>
  <c r="G42" i="13"/>
  <c r="F102" i="16"/>
  <c r="E42" i="13"/>
  <c r="D282" i="6"/>
  <c r="F21" i="17"/>
  <c r="G21" i="17" s="1"/>
  <c r="F164" i="6"/>
  <c r="D161" i="6"/>
  <c r="N300" i="7"/>
  <c r="O300" i="7"/>
  <c r="C54" i="16"/>
  <c r="D102" i="16"/>
  <c r="F99" i="6"/>
  <c r="F15" i="6"/>
  <c r="F282" i="6"/>
  <c r="F284" i="6" s="1"/>
  <c r="F98" i="6"/>
  <c r="D131" i="7"/>
  <c r="D16" i="6" s="1"/>
  <c r="D90" i="6"/>
  <c r="F90" i="6"/>
  <c r="D67" i="7"/>
  <c r="D72" i="7" s="1"/>
  <c r="E21" i="17" l="1"/>
  <c r="E53" i="16"/>
  <c r="C29" i="7"/>
  <c r="N39" i="7"/>
  <c r="P38" i="7"/>
  <c r="S38" i="7" s="1"/>
  <c r="D166" i="6" l="1"/>
  <c r="O211" i="7" s="1"/>
  <c r="P39" i="7"/>
  <c r="S39" i="7" s="1"/>
  <c r="N40" i="7"/>
  <c r="I26" i="8"/>
  <c r="Q211" i="7" l="1"/>
  <c r="P40" i="7"/>
  <c r="S40" i="7" s="1"/>
  <c r="N41" i="7"/>
  <c r="P41" i="7" l="1"/>
  <c r="S41" i="7" s="1"/>
  <c r="N42" i="7"/>
  <c r="H10" i="8"/>
  <c r="H9" i="8"/>
  <c r="H8" i="8"/>
  <c r="H7" i="8"/>
  <c r="P42" i="7" l="1"/>
  <c r="S42" i="7" s="1"/>
  <c r="N43" i="7"/>
  <c r="N322" i="7"/>
  <c r="O314" i="7"/>
  <c r="N314" i="7"/>
  <c r="P43" i="7" l="1"/>
  <c r="S43" i="7" s="1"/>
  <c r="N44" i="7"/>
  <c r="B49" i="6"/>
  <c r="B47" i="6"/>
  <c r="F9" i="6"/>
  <c r="F8" i="6"/>
  <c r="F11" i="6"/>
  <c r="D9" i="6"/>
  <c r="D43" i="6"/>
  <c r="F28" i="7"/>
  <c r="F27" i="7"/>
  <c r="D28" i="7"/>
  <c r="D27" i="7"/>
  <c r="F16" i="17"/>
  <c r="E39" i="7"/>
  <c r="E84" i="7" s="1"/>
  <c r="C39" i="7"/>
  <c r="C84" i="7" s="1"/>
  <c r="D33" i="7"/>
  <c r="E43" i="7"/>
  <c r="C43" i="7"/>
  <c r="D10" i="6" l="1"/>
  <c r="F10" i="6"/>
  <c r="P44" i="7"/>
  <c r="S44" i="7" s="1"/>
  <c r="F19" i="6"/>
  <c r="D6" i="6"/>
  <c r="F43" i="7"/>
  <c r="F6" i="6" l="1"/>
  <c r="D11" i="6"/>
  <c r="F51" i="7"/>
  <c r="F71" i="7" s="1"/>
  <c r="D205" i="6" l="1"/>
  <c r="D51" i="7"/>
  <c r="D71" i="7" s="1"/>
  <c r="D73" i="7" s="1"/>
  <c r="D3" i="17"/>
  <c r="G3" i="17"/>
  <c r="I3" i="16"/>
  <c r="D12" i="6" l="1"/>
  <c r="F19" i="17"/>
  <c r="E83" i="6" l="1"/>
  <c r="E86" i="6" s="1"/>
  <c r="F25" i="13" s="1"/>
  <c r="G83" i="6"/>
  <c r="G86" i="6" s="1"/>
  <c r="H25" i="13" s="1"/>
  <c r="G180" i="6"/>
  <c r="F281" i="6"/>
  <c r="F280" i="6"/>
  <c r="D84" i="6" s="1"/>
  <c r="D281" i="6"/>
  <c r="D280" i="6"/>
  <c r="D100" i="6" l="1"/>
  <c r="D180" i="6" s="1"/>
  <c r="D208" i="6"/>
  <c r="F100" i="6" l="1"/>
  <c r="F180" i="6" s="1"/>
  <c r="F84" i="6"/>
  <c r="F208" i="6" s="1"/>
  <c r="F86" i="6" l="1"/>
  <c r="F122" i="6"/>
  <c r="C2" i="18"/>
  <c r="G3" i="13"/>
  <c r="F209" i="6" l="1"/>
  <c r="F54" i="17" s="1"/>
  <c r="E54" i="17" s="1"/>
  <c r="F123" i="6"/>
  <c r="G25" i="13"/>
  <c r="E47" i="16"/>
  <c r="P301" i="7"/>
  <c r="D29" i="8"/>
  <c r="N297" i="7"/>
  <c r="J9" i="8" s="1"/>
  <c r="E29" i="8" l="1"/>
  <c r="O297" i="7"/>
  <c r="D35" i="7"/>
  <c r="P297" i="7" l="1"/>
  <c r="K9" i="8"/>
  <c r="L9" i="8" s="1"/>
  <c r="P16" i="7" l="1"/>
  <c r="S16" i="7" s="1"/>
  <c r="M17" i="7"/>
  <c r="P50" i="7"/>
  <c r="M51" i="7"/>
  <c r="S51" i="7" s="1"/>
  <c r="M50" i="7"/>
  <c r="P31" i="7"/>
  <c r="S31" i="7" s="1"/>
  <c r="M32" i="7"/>
  <c r="M33" i="7"/>
  <c r="P23" i="7"/>
  <c r="S23" i="7" s="1"/>
  <c r="P24" i="7"/>
  <c r="M25" i="7"/>
  <c r="M24" i="7"/>
  <c r="P32" i="7"/>
  <c r="S50" i="7" l="1"/>
  <c r="S24" i="7"/>
  <c r="S32" i="7"/>
  <c r="C354" i="7"/>
  <c r="B362" i="7" s="1"/>
  <c r="C355" i="7"/>
  <c r="P33" i="7"/>
  <c r="S33" i="7"/>
  <c r="P25" i="7"/>
  <c r="S25" i="7"/>
  <c r="S17" i="7"/>
  <c r="C377" i="7"/>
  <c r="B385" i="7" s="1"/>
  <c r="C378" i="7"/>
  <c r="F274" i="6"/>
  <c r="D274" i="6"/>
  <c r="B379" i="7" l="1"/>
  <c r="B384" i="7"/>
  <c r="B361" i="7"/>
  <c r="B356" i="7"/>
  <c r="M154" i="7" l="1"/>
  <c r="M155" i="7"/>
  <c r="M156" i="7"/>
  <c r="M157" i="7"/>
  <c r="M158" i="7"/>
  <c r="D172" i="7" l="1"/>
  <c r="E172" i="7" s="1"/>
  <c r="D185" i="7"/>
  <c r="E185" i="7" s="1"/>
  <c r="A97" i="16"/>
  <c r="B97" i="16"/>
  <c r="A96" i="16"/>
  <c r="B96" i="16"/>
  <c r="C97" i="16"/>
  <c r="C96" i="16"/>
  <c r="E97" i="16"/>
  <c r="E96" i="16"/>
  <c r="D235" i="7" l="1"/>
  <c r="D94" i="6"/>
  <c r="C235" i="7"/>
  <c r="F94" i="6"/>
  <c r="P168" i="7"/>
  <c r="G278" i="6"/>
  <c r="H40" i="13" s="1"/>
  <c r="E278" i="6"/>
  <c r="F40" i="13" s="1"/>
  <c r="F96" i="6" l="1"/>
  <c r="P184" i="7"/>
  <c r="D114" i="6" s="1"/>
  <c r="P182" i="7"/>
  <c r="C48" i="16" s="1"/>
  <c r="P183" i="7"/>
  <c r="P185" i="7"/>
  <c r="D160" i="6" s="1"/>
  <c r="P186" i="7"/>
  <c r="Q185" i="7"/>
  <c r="Q186" i="7"/>
  <c r="Q183" i="7"/>
  <c r="Q184" i="7"/>
  <c r="Q182" i="7"/>
  <c r="E48" i="16" l="1"/>
  <c r="F89" i="6"/>
  <c r="F91" i="6" s="1"/>
  <c r="F210" i="6"/>
  <c r="D210" i="6"/>
  <c r="F20" i="17"/>
  <c r="G20" i="17" s="1"/>
  <c r="F114" i="6"/>
  <c r="D95" i="6"/>
  <c r="D89" i="6"/>
  <c r="F160" i="6"/>
  <c r="F95" i="6"/>
  <c r="M194" i="7"/>
  <c r="E71" i="16"/>
  <c r="C71" i="16"/>
  <c r="E56" i="16"/>
  <c r="A95" i="16"/>
  <c r="A94" i="16"/>
  <c r="A93" i="16"/>
  <c r="B93" i="16"/>
  <c r="B95" i="16"/>
  <c r="B94" i="16"/>
  <c r="A73" i="16"/>
  <c r="A72" i="16"/>
  <c r="A60" i="16"/>
  <c r="A59" i="16"/>
  <c r="B73" i="16"/>
  <c r="D91" i="6" l="1"/>
  <c r="D124" i="6" s="1"/>
  <c r="F124" i="6"/>
  <c r="F102" i="6"/>
  <c r="D96" i="6"/>
  <c r="D102" i="6" s="1"/>
  <c r="O210" i="7"/>
  <c r="Q210" i="7" s="1"/>
  <c r="Q212" i="7" s="1"/>
  <c r="D168" i="6"/>
  <c r="D169" i="6" s="1"/>
  <c r="G26" i="13"/>
  <c r="E20" i="17"/>
  <c r="F45" i="17"/>
  <c r="E45" i="17" s="1"/>
  <c r="A59" i="17"/>
  <c r="B59" i="17"/>
  <c r="A33" i="17"/>
  <c r="A7" i="17"/>
  <c r="A6" i="17"/>
  <c r="A23" i="17"/>
  <c r="E26" i="13" l="1"/>
  <c r="F138" i="6"/>
  <c r="F139" i="6" s="1"/>
  <c r="E20" i="19" s="1"/>
  <c r="E21" i="19" s="1"/>
  <c r="D138" i="6"/>
  <c r="D139" i="6" s="1"/>
  <c r="D20" i="19" s="1"/>
  <c r="D21" i="19" s="1"/>
  <c r="D172" i="6"/>
  <c r="D171" i="6"/>
  <c r="O212" i="7"/>
  <c r="G27" i="13"/>
  <c r="B66" i="17"/>
  <c r="A45" i="17"/>
  <c r="F39" i="17"/>
  <c r="A42" i="17"/>
  <c r="A41" i="17"/>
  <c r="A40" i="17"/>
  <c r="B42" i="17"/>
  <c r="B39" i="17"/>
  <c r="B38" i="17"/>
  <c r="B37" i="17"/>
  <c r="B36" i="17"/>
  <c r="A30" i="17"/>
  <c r="A29" i="17"/>
  <c r="A28" i="17"/>
  <c r="B28" i="17"/>
  <c r="B24" i="17"/>
  <c r="A24" i="17"/>
  <c r="B23" i="17"/>
  <c r="B19" i="17"/>
  <c r="A16" i="17"/>
  <c r="B16" i="17"/>
  <c r="A17" i="17"/>
  <c r="B17" i="17"/>
  <c r="A18" i="17"/>
  <c r="B18" i="17"/>
  <c r="A19" i="17"/>
  <c r="D173" i="6" l="1"/>
  <c r="D175" i="6" s="1"/>
  <c r="E33" i="13"/>
  <c r="E39" i="17"/>
  <c r="B12" i="17"/>
  <c r="B10" i="17"/>
  <c r="D7" i="17"/>
  <c r="D6" i="17"/>
  <c r="B12" i="8"/>
  <c r="E12" i="8"/>
  <c r="E51" i="16" l="1"/>
  <c r="B50" i="16"/>
  <c r="C6" i="7" l="1"/>
  <c r="M129" i="7" l="1"/>
  <c r="M128" i="7"/>
  <c r="S128" i="7" s="1"/>
  <c r="M127" i="7"/>
  <c r="S127" i="7" s="1"/>
  <c r="M126" i="7"/>
  <c r="S126" i="7" s="1"/>
  <c r="X109" i="7"/>
  <c r="W109" i="7"/>
  <c r="M109" i="7"/>
  <c r="M108" i="7"/>
  <c r="M111" i="7" s="1"/>
  <c r="F70" i="6"/>
  <c r="F69" i="6"/>
  <c r="G274" i="6" l="1"/>
  <c r="E274" i="6"/>
  <c r="D6" i="7"/>
  <c r="D10" i="7"/>
  <c r="C10" i="7"/>
  <c r="Z24" i="7" l="1"/>
  <c r="Z23" i="7"/>
  <c r="T24" i="7"/>
  <c r="Z51" i="7"/>
  <c r="Z47" i="7"/>
  <c r="Z43" i="7"/>
  <c r="Z39" i="7"/>
  <c r="V49" i="7"/>
  <c r="V45" i="7"/>
  <c r="V41" i="7"/>
  <c r="T49" i="7"/>
  <c r="T45" i="7"/>
  <c r="T41" i="7"/>
  <c r="Z25" i="7"/>
  <c r="Z40" i="7"/>
  <c r="V42" i="7"/>
  <c r="T50" i="7"/>
  <c r="T38" i="7"/>
  <c r="Q46" i="7"/>
  <c r="Q38" i="7"/>
  <c r="V25" i="7"/>
  <c r="T25" i="7"/>
  <c r="Z50" i="7"/>
  <c r="Z46" i="7"/>
  <c r="Z42" i="7"/>
  <c r="Z38" i="7"/>
  <c r="V48" i="7"/>
  <c r="V44" i="7"/>
  <c r="V40" i="7"/>
  <c r="T48" i="7"/>
  <c r="T44" i="7"/>
  <c r="T40" i="7"/>
  <c r="Q49" i="7"/>
  <c r="Q47" i="7"/>
  <c r="Q45" i="7"/>
  <c r="Q43" i="7"/>
  <c r="Q41" i="7"/>
  <c r="Q39" i="7"/>
  <c r="T23" i="7"/>
  <c r="Z48" i="7"/>
  <c r="V50" i="7"/>
  <c r="T42" i="7"/>
  <c r="Q48" i="7"/>
  <c r="Q42" i="7"/>
  <c r="Y110" i="7"/>
  <c r="V24" i="7"/>
  <c r="Z49" i="7"/>
  <c r="Z45" i="7"/>
  <c r="Z41" i="7"/>
  <c r="V51" i="7"/>
  <c r="V47" i="7"/>
  <c r="V43" i="7"/>
  <c r="V39" i="7"/>
  <c r="T51" i="7"/>
  <c r="T47" i="7"/>
  <c r="T43" i="7"/>
  <c r="T39" i="7"/>
  <c r="Q51" i="7"/>
  <c r="V23" i="7"/>
  <c r="Z44" i="7"/>
  <c r="V46" i="7"/>
  <c r="V38" i="7"/>
  <c r="T46" i="7"/>
  <c r="Q50" i="7"/>
  <c r="Q44" i="7"/>
  <c r="Q40" i="7"/>
  <c r="AA24" i="7"/>
  <c r="W23" i="7"/>
  <c r="U25" i="7"/>
  <c r="AA49" i="7"/>
  <c r="AA45" i="7"/>
  <c r="AA41" i="7"/>
  <c r="X49" i="7"/>
  <c r="X45" i="7"/>
  <c r="X41" i="7"/>
  <c r="Y41" i="7" s="1"/>
  <c r="W51" i="7"/>
  <c r="W47" i="7"/>
  <c r="W43" i="7"/>
  <c r="W39" i="7"/>
  <c r="U51" i="7"/>
  <c r="U47" i="7"/>
  <c r="U43" i="7"/>
  <c r="U39" i="7"/>
  <c r="R51" i="7"/>
  <c r="R49" i="7"/>
  <c r="R47" i="7"/>
  <c r="R45" i="7"/>
  <c r="R43" i="7"/>
  <c r="R41" i="7"/>
  <c r="R39" i="7"/>
  <c r="W24" i="7"/>
  <c r="AA50" i="7"/>
  <c r="AA38" i="7"/>
  <c r="X50" i="7"/>
  <c r="W48" i="7"/>
  <c r="W40" i="7"/>
  <c r="U48" i="7"/>
  <c r="Z110" i="7"/>
  <c r="AA23" i="7"/>
  <c r="X24" i="7"/>
  <c r="U24" i="7"/>
  <c r="AA48" i="7"/>
  <c r="AA44" i="7"/>
  <c r="AA40" i="7"/>
  <c r="X48" i="7"/>
  <c r="X44" i="7"/>
  <c r="Y44" i="7" s="1"/>
  <c r="X40" i="7"/>
  <c r="Y40" i="7" s="1"/>
  <c r="W50" i="7"/>
  <c r="W46" i="7"/>
  <c r="W42" i="7"/>
  <c r="W38" i="7"/>
  <c r="U50" i="7"/>
  <c r="U46" i="7"/>
  <c r="U42" i="7"/>
  <c r="U38" i="7"/>
  <c r="R50" i="7"/>
  <c r="X42" i="7"/>
  <c r="Y42" i="7" s="1"/>
  <c r="U44" i="7"/>
  <c r="X25" i="7"/>
  <c r="W25" i="7"/>
  <c r="U23" i="7"/>
  <c r="AA51" i="7"/>
  <c r="AA47" i="7"/>
  <c r="AA43" i="7"/>
  <c r="AA39" i="7"/>
  <c r="X51" i="7"/>
  <c r="X47" i="7"/>
  <c r="X43" i="7"/>
  <c r="Y43" i="7" s="1"/>
  <c r="X39" i="7"/>
  <c r="Y39" i="7" s="1"/>
  <c r="W49" i="7"/>
  <c r="W45" i="7"/>
  <c r="W41" i="7"/>
  <c r="U49" i="7"/>
  <c r="U45" i="7"/>
  <c r="U41" i="7"/>
  <c r="R48" i="7"/>
  <c r="R46" i="7"/>
  <c r="R44" i="7"/>
  <c r="R42" i="7"/>
  <c r="R40" i="7"/>
  <c r="R38" i="7"/>
  <c r="AA25" i="7"/>
  <c r="X23" i="7"/>
  <c r="AA46" i="7"/>
  <c r="AA42" i="7"/>
  <c r="X46" i="7"/>
  <c r="X38" i="7"/>
  <c r="Y38" i="7" s="1"/>
  <c r="W44" i="7"/>
  <c r="U40" i="7"/>
  <c r="D264" i="7"/>
  <c r="R92" i="7"/>
  <c r="R110" i="7"/>
  <c r="U130" i="7"/>
  <c r="V92" i="7"/>
  <c r="R130" i="7"/>
  <c r="U92" i="7"/>
  <c r="C264" i="7"/>
  <c r="T130" i="7"/>
  <c r="Q130" i="7"/>
  <c r="Q110" i="7"/>
  <c r="Q23" i="7"/>
  <c r="R23" i="7"/>
  <c r="Q24" i="7"/>
  <c r="Q25" i="7"/>
  <c r="R25" i="7"/>
  <c r="R24" i="7"/>
  <c r="AA26" i="7" l="1"/>
  <c r="Z52" i="7"/>
  <c r="Z26" i="7"/>
  <c r="W52" i="7"/>
  <c r="V52" i="7"/>
  <c r="C68" i="16"/>
  <c r="G223" i="6" l="1"/>
  <c r="E223" i="6"/>
  <c r="G219" i="6"/>
  <c r="E219" i="6"/>
  <c r="B115" i="6" l="1"/>
  <c r="F116" i="6"/>
  <c r="D116" i="6"/>
  <c r="F71" i="6"/>
  <c r="D71" i="6"/>
  <c r="B666" i="6"/>
  <c r="B660" i="6"/>
  <c r="B658" i="6"/>
  <c r="B655" i="6"/>
  <c r="B651" i="6"/>
  <c r="B299" i="6"/>
  <c r="B656" i="6" s="1"/>
  <c r="B300" i="6"/>
  <c r="B657" i="6" s="1"/>
  <c r="C52" i="16" l="1"/>
  <c r="F128" i="6"/>
  <c r="D128" i="6"/>
  <c r="E52" i="16"/>
  <c r="B72" i="6"/>
  <c r="E163" i="6"/>
  <c r="E166" i="6" s="1"/>
  <c r="F144" i="6"/>
  <c r="D144" i="6"/>
  <c r="D108" i="6"/>
  <c r="F108" i="6"/>
  <c r="F61" i="6"/>
  <c r="D61" i="6"/>
  <c r="T211" i="7" l="1"/>
  <c r="V211" i="7" s="1"/>
  <c r="F243" i="6"/>
  <c r="D243" i="6"/>
  <c r="F23" i="17"/>
  <c r="C50" i="16"/>
  <c r="E28" i="13"/>
  <c r="C51" i="16"/>
  <c r="G28" i="13"/>
  <c r="D33" i="16"/>
  <c r="F146" i="6"/>
  <c r="F33" i="16"/>
  <c r="D146" i="6"/>
  <c r="F126" i="6"/>
  <c r="D126" i="6"/>
  <c r="E17" i="17"/>
  <c r="E50" i="16"/>
  <c r="F72" i="6"/>
  <c r="E66" i="6"/>
  <c r="B25" i="6"/>
  <c r="B24" i="6"/>
  <c r="B26" i="6"/>
  <c r="E29" i="7"/>
  <c r="E26" i="7"/>
  <c r="C26" i="7"/>
  <c r="F25" i="6"/>
  <c r="F24" i="6"/>
  <c r="D24" i="6"/>
  <c r="H21" i="13"/>
  <c r="F21" i="13"/>
  <c r="G146" i="6" l="1"/>
  <c r="G31" i="13"/>
  <c r="E146" i="6"/>
  <c r="E31" i="13"/>
  <c r="G23" i="17"/>
  <c r="E23" i="17" s="1"/>
  <c r="F74" i="6"/>
  <c r="D19" i="6"/>
  <c r="D29" i="7"/>
  <c r="D25" i="6"/>
  <c r="F29" i="7"/>
  <c r="B18" i="13"/>
  <c r="D21" i="6" l="1"/>
  <c r="D195" i="6"/>
  <c r="F75" i="6"/>
  <c r="F120" i="6" s="1"/>
  <c r="F61" i="16"/>
  <c r="F135" i="6"/>
  <c r="G135" i="6"/>
  <c r="F34" i="7"/>
  <c r="G17" i="17"/>
  <c r="D34" i="7"/>
  <c r="F26" i="6"/>
  <c r="D26" i="6"/>
  <c r="D3" i="13"/>
  <c r="E45" i="16" l="1"/>
  <c r="F206" i="6"/>
  <c r="F52" i="17" s="1"/>
  <c r="E52" i="17" s="1"/>
  <c r="G23" i="13"/>
  <c r="Y48" i="7"/>
  <c r="Y47" i="7"/>
  <c r="Y45" i="7"/>
  <c r="Y49" i="7"/>
  <c r="Y46" i="7"/>
  <c r="D69" i="6"/>
  <c r="J6" i="8"/>
  <c r="X100" i="7"/>
  <c r="G227" i="6"/>
  <c r="G216" i="6"/>
  <c r="G189" i="6"/>
  <c r="G176" i="6"/>
  <c r="G174" i="6"/>
  <c r="G170" i="6"/>
  <c r="G159" i="6"/>
  <c r="U210" i="7" s="1"/>
  <c r="G153" i="6"/>
  <c r="G152" i="6"/>
  <c r="G151" i="6"/>
  <c r="G145" i="6"/>
  <c r="G144" i="6"/>
  <c r="H31" i="13" s="1"/>
  <c r="G142" i="6"/>
  <c r="G110" i="6"/>
  <c r="H29" i="13" s="1"/>
  <c r="G168" i="6" l="1"/>
  <c r="G169" i="6" s="1"/>
  <c r="G171" i="6" s="1"/>
  <c r="D29" i="16"/>
  <c r="D196" i="6"/>
  <c r="D200" i="6" s="1"/>
  <c r="F29" i="16"/>
  <c r="F196" i="6"/>
  <c r="G127" i="6"/>
  <c r="D74" i="6"/>
  <c r="G147" i="6"/>
  <c r="G155" i="6"/>
  <c r="H32" i="13" s="1"/>
  <c r="D135" i="6" l="1"/>
  <c r="H33" i="13"/>
  <c r="G173" i="6"/>
  <c r="W210" i="7"/>
  <c r="W212" i="7" s="1"/>
  <c r="G172" i="6" s="1"/>
  <c r="U212" i="7"/>
  <c r="E135" i="6"/>
  <c r="D75" i="6"/>
  <c r="E23" i="13" l="1"/>
  <c r="C45" i="16"/>
  <c r="D120" i="6"/>
  <c r="D206" i="6"/>
  <c r="E227" i="6" l="1"/>
  <c r="B176" i="6" l="1"/>
  <c r="B147" i="6"/>
  <c r="E110" i="6"/>
  <c r="F29" i="13" s="1"/>
  <c r="E174" i="6"/>
  <c r="E170" i="6"/>
  <c r="E159" i="6"/>
  <c r="E153" i="6"/>
  <c r="E152" i="6"/>
  <c r="E151" i="6"/>
  <c r="E145" i="6"/>
  <c r="E144" i="6"/>
  <c r="F31" i="13" s="1"/>
  <c r="E142" i="6"/>
  <c r="C121" i="6"/>
  <c r="C120" i="6"/>
  <c r="C119" i="6"/>
  <c r="C128" i="6"/>
  <c r="B128" i="6"/>
  <c r="C127" i="6"/>
  <c r="B127" i="6"/>
  <c r="C126" i="6"/>
  <c r="B126" i="6"/>
  <c r="C125" i="6"/>
  <c r="B125" i="6"/>
  <c r="C123" i="6"/>
  <c r="B123" i="6"/>
  <c r="A123" i="6"/>
  <c r="A128" i="6"/>
  <c r="A127" i="6"/>
  <c r="A126" i="6"/>
  <c r="A125" i="6"/>
  <c r="B121" i="6"/>
  <c r="B120" i="6"/>
  <c r="B119" i="6"/>
  <c r="A121" i="6"/>
  <c r="A120" i="6"/>
  <c r="A119" i="6"/>
  <c r="T210" i="7" l="1"/>
  <c r="T212" i="7" s="1"/>
  <c r="E168" i="6"/>
  <c r="E169" i="6" s="1"/>
  <c r="E171" i="6" s="1"/>
  <c r="B30" i="17"/>
  <c r="B60" i="16"/>
  <c r="B29" i="17"/>
  <c r="B59" i="16"/>
  <c r="E127" i="6"/>
  <c r="B664" i="6"/>
  <c r="B667" i="6"/>
  <c r="E147" i="6"/>
  <c r="E155" i="6"/>
  <c r="F32" i="13" s="1"/>
  <c r="J40" i="8"/>
  <c r="J39" i="8"/>
  <c r="J38" i="8"/>
  <c r="J37" i="8"/>
  <c r="J36" i="8"/>
  <c r="J35" i="8"/>
  <c r="J34" i="8"/>
  <c r="J33" i="8"/>
  <c r="J32" i="8"/>
  <c r="J31" i="8"/>
  <c r="J30" i="8"/>
  <c r="J29" i="8"/>
  <c r="B34" i="8"/>
  <c r="C34" i="8"/>
  <c r="K6" i="8"/>
  <c r="C40" i="8"/>
  <c r="C39" i="8"/>
  <c r="C38" i="8"/>
  <c r="C37" i="8"/>
  <c r="C36" i="8"/>
  <c r="C35" i="8"/>
  <c r="C33" i="8"/>
  <c r="C32" i="8"/>
  <c r="C31" i="8"/>
  <c r="C29" i="8"/>
  <c r="B29" i="8"/>
  <c r="B40" i="8"/>
  <c r="B39" i="8"/>
  <c r="B38" i="8"/>
  <c r="B37" i="8"/>
  <c r="B36" i="8"/>
  <c r="B35" i="8"/>
  <c r="B33" i="8"/>
  <c r="B32" i="8"/>
  <c r="B31" i="8"/>
  <c r="B30" i="8"/>
  <c r="F33" i="13" l="1"/>
  <c r="V210" i="7"/>
  <c r="V212" i="7" s="1"/>
  <c r="E172" i="6" s="1"/>
  <c r="F224" i="6"/>
  <c r="D224" i="6"/>
  <c r="E173" i="6" l="1"/>
  <c r="E35" i="13"/>
  <c r="G35" i="13"/>
  <c r="D37" i="16"/>
  <c r="F37" i="16"/>
  <c r="E224" i="6"/>
  <c r="G224" i="6"/>
  <c r="H35" i="13" s="1"/>
  <c r="D40" i="8"/>
  <c r="D39" i="8"/>
  <c r="D38" i="8"/>
  <c r="B271" i="6"/>
  <c r="B270" i="6"/>
  <c r="E189" i="6"/>
  <c r="E216" i="6"/>
  <c r="W100" i="7"/>
  <c r="M76" i="7"/>
  <c r="M91" i="7"/>
  <c r="M90" i="7"/>
  <c r="F40" i="8" l="1"/>
  <c r="E40" i="8"/>
  <c r="E38" i="8"/>
  <c r="F38" i="8"/>
  <c r="F39" i="8"/>
  <c r="E39" i="8"/>
  <c r="D39" i="16"/>
  <c r="I30" i="16" s="1"/>
  <c r="F39" i="16"/>
  <c r="J30" i="16" s="1"/>
  <c r="F35" i="13"/>
  <c r="D30" i="8"/>
  <c r="D34" i="8"/>
  <c r="D31" i="8"/>
  <c r="D35" i="8"/>
  <c r="O296" i="7"/>
  <c r="K8" i="8" s="1"/>
  <c r="D32" i="8"/>
  <c r="D36" i="8"/>
  <c r="D33" i="8"/>
  <c r="D37" i="8"/>
  <c r="N296" i="7"/>
  <c r="J8" i="8" s="1"/>
  <c r="F34" i="8" l="1"/>
  <c r="E34" i="8"/>
  <c r="F35" i="8"/>
  <c r="E35" i="8"/>
  <c r="E36" i="8"/>
  <c r="F36" i="8"/>
  <c r="F37" i="8"/>
  <c r="E37" i="8"/>
  <c r="E33" i="8"/>
  <c r="E32" i="8"/>
  <c r="E31" i="8"/>
  <c r="E30" i="8"/>
  <c r="G38" i="8"/>
  <c r="H38" i="8"/>
  <c r="H39" i="8"/>
  <c r="G40" i="8"/>
  <c r="H40" i="8"/>
  <c r="G39" i="8"/>
  <c r="U38" i="8"/>
  <c r="U39" i="8"/>
  <c r="U40" i="8"/>
  <c r="L8" i="8"/>
  <c r="P296" i="7"/>
  <c r="O298" i="7"/>
  <c r="K10" i="8" s="1"/>
  <c r="O295" i="7"/>
  <c r="N298" i="7"/>
  <c r="J10" i="8" s="1"/>
  <c r="N295" i="7"/>
  <c r="H36" i="8" l="1"/>
  <c r="G37" i="8"/>
  <c r="H37" i="8"/>
  <c r="G35" i="8"/>
  <c r="H35" i="8"/>
  <c r="G36" i="8"/>
  <c r="N299" i="7"/>
  <c r="N302" i="7" s="1"/>
  <c r="K7" i="8"/>
  <c r="K11" i="8" s="1"/>
  <c r="O299" i="7"/>
  <c r="O302" i="7" s="1"/>
  <c r="E41" i="8"/>
  <c r="U35" i="8"/>
  <c r="U36" i="8"/>
  <c r="U37" i="8"/>
  <c r="L10" i="8"/>
  <c r="P300" i="7"/>
  <c r="P298" i="7"/>
  <c r="D80" i="6" l="1"/>
  <c r="D147" i="6"/>
  <c r="D155" i="6"/>
  <c r="G66" i="6"/>
  <c r="F80" i="6"/>
  <c r="F147" i="6"/>
  <c r="F155" i="6"/>
  <c r="E32" i="13" l="1"/>
  <c r="F18" i="17"/>
  <c r="G18" i="17" s="1"/>
  <c r="G32" i="13"/>
  <c r="F24" i="17"/>
  <c r="E24" i="17" s="1"/>
  <c r="G24" i="13"/>
  <c r="E46" i="16"/>
  <c r="E24" i="13"/>
  <c r="C46" i="16"/>
  <c r="D34" i="16"/>
  <c r="D35" i="16" s="1"/>
  <c r="I29" i="16" s="1"/>
  <c r="F34" i="16"/>
  <c r="F35" i="16" s="1"/>
  <c r="J29" i="16" s="1"/>
  <c r="F121" i="6"/>
  <c r="F31" i="16"/>
  <c r="C59" i="16"/>
  <c r="D121" i="6"/>
  <c r="D31" i="16"/>
  <c r="F207" i="6"/>
  <c r="F53" i="17" s="1"/>
  <c r="D207" i="6"/>
  <c r="F29" i="17"/>
  <c r="E29" i="17" s="1"/>
  <c r="E59" i="16"/>
  <c r="G19" i="17"/>
  <c r="E19" i="17"/>
  <c r="E108" i="6"/>
  <c r="F28" i="13" s="1"/>
  <c r="G108" i="6"/>
  <c r="G80" i="6"/>
  <c r="H24" i="13" s="1"/>
  <c r="E80" i="6"/>
  <c r="F24" i="13" s="1"/>
  <c r="E70" i="16"/>
  <c r="C6" i="8"/>
  <c r="F6" i="8" s="1"/>
  <c r="E53" i="17" l="1"/>
  <c r="F55" i="17"/>
  <c r="H28" i="13"/>
  <c r="G243" i="6"/>
  <c r="E18" i="17"/>
  <c r="D188" i="6"/>
  <c r="E188" i="6" s="1"/>
  <c r="C70" i="16"/>
  <c r="G128" i="6"/>
  <c r="E243" i="6"/>
  <c r="E121" i="6"/>
  <c r="E123" i="6"/>
  <c r="G121" i="6"/>
  <c r="G123" i="6"/>
  <c r="G75" i="6"/>
  <c r="H23" i="13" s="1"/>
  <c r="E75" i="6"/>
  <c r="F23" i="13" s="1"/>
  <c r="F188" i="6"/>
  <c r="G188" i="6" l="1"/>
  <c r="G120" i="6"/>
  <c r="E120" i="6"/>
  <c r="N5" i="7"/>
  <c r="N29" i="7"/>
  <c r="Z33" i="7" l="1"/>
  <c r="Z10" i="7" s="1"/>
  <c r="V33" i="7"/>
  <c r="W32" i="7"/>
  <c r="AA33" i="7"/>
  <c r="U33" i="7"/>
  <c r="AA32" i="7"/>
  <c r="V32" i="7"/>
  <c r="W31" i="7"/>
  <c r="W33" i="7"/>
  <c r="T33" i="7"/>
  <c r="AA31" i="7"/>
  <c r="Z31" i="7"/>
  <c r="V31" i="7"/>
  <c r="Z32" i="7"/>
  <c r="E38" i="17"/>
  <c r="R5" i="7"/>
  <c r="R57" i="7"/>
  <c r="Q57" i="7"/>
  <c r="Z34" i="7" l="1"/>
  <c r="AA34" i="7"/>
  <c r="M146" i="7"/>
  <c r="S146" i="7" s="1"/>
  <c r="M145" i="7"/>
  <c r="N45" i="7" l="1"/>
  <c r="M137" i="7"/>
  <c r="M136" i="7"/>
  <c r="P45" i="7" l="1"/>
  <c r="S45" i="7" s="1"/>
  <c r="N46" i="7"/>
  <c r="B5" i="13"/>
  <c r="F32" i="6"/>
  <c r="F43" i="6"/>
  <c r="D32" i="6"/>
  <c r="C9" i="8"/>
  <c r="M83" i="7"/>
  <c r="M82" i="7"/>
  <c r="P46" i="7" l="1"/>
  <c r="S46" i="7" s="1"/>
  <c r="N47" i="7"/>
  <c r="E16" i="17"/>
  <c r="G16" i="17"/>
  <c r="M120" i="7"/>
  <c r="M119" i="7"/>
  <c r="S119" i="7" s="1"/>
  <c r="M118" i="7"/>
  <c r="S118" i="7" s="1"/>
  <c r="M117" i="7"/>
  <c r="S117" i="7" s="1"/>
  <c r="M100" i="7"/>
  <c r="M99" i="7"/>
  <c r="M102" i="7" s="1"/>
  <c r="P47" i="7" l="1"/>
  <c r="S47" i="7" s="1"/>
  <c r="N48" i="7"/>
  <c r="P48" i="7" l="1"/>
  <c r="S48" i="7" s="1"/>
  <c r="N49" i="7"/>
  <c r="D6" i="8"/>
  <c r="D11" i="8" s="1"/>
  <c r="P49" i="7" l="1"/>
  <c r="S49" i="7" s="1"/>
  <c r="D38" i="6"/>
  <c r="F33" i="6"/>
  <c r="F38" i="6"/>
  <c r="B8" i="8"/>
  <c r="B7" i="8"/>
  <c r="R26" i="7" l="1"/>
  <c r="D33" i="6"/>
  <c r="Q79" i="7" s="1"/>
  <c r="Q114" i="7" l="1"/>
  <c r="C287" i="7"/>
  <c r="U52" i="7"/>
  <c r="D202" i="6" l="1"/>
  <c r="E208" i="6" l="1"/>
  <c r="E207" i="6"/>
  <c r="E206" i="6"/>
  <c r="F212" i="6"/>
  <c r="D34" i="6"/>
  <c r="D27" i="6"/>
  <c r="P180" i="7"/>
  <c r="E21" i="6"/>
  <c r="E175" i="6"/>
  <c r="E176" i="6" l="1"/>
  <c r="F34" i="13"/>
  <c r="E34" i="13"/>
  <c r="Q116" i="7"/>
  <c r="D44" i="6"/>
  <c r="D666" i="6"/>
  <c r="B663" i="6"/>
  <c r="E34" i="6"/>
  <c r="D176" i="6"/>
  <c r="E179" i="6" l="1"/>
  <c r="E181" i="6" s="1"/>
  <c r="D28" i="16"/>
  <c r="D32" i="16" s="1"/>
  <c r="C60" i="16"/>
  <c r="P194" i="7"/>
  <c r="D56" i="6"/>
  <c r="T114" i="7"/>
  <c r="Q128" i="7"/>
  <c r="Q117" i="7"/>
  <c r="Q119" i="7"/>
  <c r="Q118" i="7"/>
  <c r="Q127" i="7"/>
  <c r="Q126" i="7"/>
  <c r="Q125" i="7"/>
  <c r="Q82" i="7"/>
  <c r="T79" i="7"/>
  <c r="T90" i="7" s="1"/>
  <c r="Q83" i="7"/>
  <c r="E664" i="6"/>
  <c r="D667" i="6"/>
  <c r="E668" i="6" s="1"/>
  <c r="E44" i="6"/>
  <c r="Q91" i="7"/>
  <c r="Q90" i="7"/>
  <c r="D236" i="6" l="1"/>
  <c r="E205" i="6"/>
  <c r="Q121" i="7"/>
  <c r="E22" i="13"/>
  <c r="C44" i="16"/>
  <c r="D119" i="6"/>
  <c r="T119" i="7"/>
  <c r="T128" i="7"/>
  <c r="T126" i="7"/>
  <c r="T117" i="7"/>
  <c r="T127" i="7"/>
  <c r="T125" i="7"/>
  <c r="T118" i="7"/>
  <c r="T116" i="7"/>
  <c r="T83" i="7"/>
  <c r="T82" i="7"/>
  <c r="T91" i="7"/>
  <c r="E56" i="6"/>
  <c r="F22" i="13" s="1"/>
  <c r="D234" i="6" l="1"/>
  <c r="E234" i="6" s="1"/>
  <c r="C83" i="16"/>
  <c r="D231" i="6"/>
  <c r="E231" i="6" s="1"/>
  <c r="C82" i="16"/>
  <c r="D235" i="6"/>
  <c r="E235" i="6" s="1"/>
  <c r="C84" i="16"/>
  <c r="E233" i="6"/>
  <c r="E42" i="6"/>
  <c r="D24" i="19"/>
  <c r="D46" i="19" s="1"/>
  <c r="T121" i="7"/>
  <c r="D185" i="6"/>
  <c r="D186" i="6"/>
  <c r="E186" i="6" s="1"/>
  <c r="E119" i="6"/>
  <c r="C67" i="16" l="1"/>
  <c r="E185" i="6"/>
  <c r="P295" i="7"/>
  <c r="P299" i="7" s="1"/>
  <c r="E255" i="6" l="1"/>
  <c r="D255" i="6"/>
  <c r="P302" i="7"/>
  <c r="Q299" i="7"/>
  <c r="M11" i="8" s="1"/>
  <c r="J7" i="8"/>
  <c r="L7" i="8" s="1"/>
  <c r="J11" i="8" l="1"/>
  <c r="L11" i="8"/>
  <c r="J12" i="8" l="1"/>
  <c r="E126" i="6"/>
  <c r="G126" i="6"/>
  <c r="E128" i="6" l="1"/>
  <c r="E129" i="6" s="1"/>
  <c r="R52" i="7" l="1"/>
  <c r="P51" i="7"/>
  <c r="Q26" i="7" l="1"/>
  <c r="Q52" i="7"/>
  <c r="T26" i="7" l="1"/>
  <c r="T52" i="7"/>
  <c r="Y50" i="7" l="1"/>
  <c r="Y51" i="7" l="1"/>
  <c r="X52" i="7"/>
  <c r="Y52" i="7" l="1"/>
  <c r="X26" i="7" l="1"/>
  <c r="Y24" i="7"/>
  <c r="Y23" i="7"/>
  <c r="Y25" i="7" l="1"/>
  <c r="Y26" i="7" l="1"/>
  <c r="F67" i="7"/>
  <c r="F72" i="7" s="1"/>
  <c r="F73" i="7" s="1"/>
  <c r="R79" i="7" s="1"/>
  <c r="B42" i="6" l="1"/>
  <c r="F12" i="6"/>
  <c r="B31" i="6" s="1"/>
  <c r="F195" i="6"/>
  <c r="F200" i="6" s="1"/>
  <c r="U26" i="7"/>
  <c r="F21" i="6" l="1"/>
  <c r="R114" i="7" s="1"/>
  <c r="F202" i="6"/>
  <c r="F34" i="6" l="1"/>
  <c r="G34" i="6" s="1"/>
  <c r="G21" i="6"/>
  <c r="F27" i="6"/>
  <c r="Q180" i="7"/>
  <c r="D287" i="7"/>
  <c r="G209" i="6"/>
  <c r="G206" i="6"/>
  <c r="G208" i="6"/>
  <c r="F236" i="6" s="1"/>
  <c r="G207" i="6"/>
  <c r="G211" i="6"/>
  <c r="G210" i="6"/>
  <c r="R118" i="7"/>
  <c r="B185" i="6"/>
  <c r="B35" i="17" s="1"/>
  <c r="F44" i="6"/>
  <c r="R116" i="7"/>
  <c r="G205" i="6"/>
  <c r="R126" i="7"/>
  <c r="R127" i="7"/>
  <c r="U114" i="7"/>
  <c r="U125" i="7" s="1"/>
  <c r="R128" i="7"/>
  <c r="R119" i="7"/>
  <c r="R117" i="7"/>
  <c r="R125" i="7"/>
  <c r="F213" i="6"/>
  <c r="R83" i="7"/>
  <c r="U79" i="7"/>
  <c r="R90" i="7"/>
  <c r="R82" i="7"/>
  <c r="R91" i="7"/>
  <c r="F56" i="6" l="1"/>
  <c r="E44" i="16" s="1"/>
  <c r="E55" i="16" s="1"/>
  <c r="E57" i="16" s="1"/>
  <c r="G179" i="6"/>
  <c r="G181" i="6" s="1"/>
  <c r="F179" i="6"/>
  <c r="F181" i="6" s="1"/>
  <c r="F28" i="16"/>
  <c r="F32" i="16" s="1"/>
  <c r="Q194" i="7"/>
  <c r="F235" i="6"/>
  <c r="G235" i="6" s="1"/>
  <c r="E84" i="16"/>
  <c r="E85" i="16"/>
  <c r="F234" i="6"/>
  <c r="G234" i="6" s="1"/>
  <c r="E83" i="16"/>
  <c r="F15" i="17"/>
  <c r="F22" i="17" s="1"/>
  <c r="F25" i="17" s="1"/>
  <c r="F231" i="6"/>
  <c r="G231" i="6" s="1"/>
  <c r="E82" i="16"/>
  <c r="E86" i="16"/>
  <c r="F238" i="6"/>
  <c r="G238" i="6" s="1"/>
  <c r="F239" i="6"/>
  <c r="G239" i="6" s="1"/>
  <c r="E87" i="16"/>
  <c r="G44" i="6"/>
  <c r="C282" i="7"/>
  <c r="U126" i="7"/>
  <c r="U117" i="7"/>
  <c r="U118" i="7"/>
  <c r="U127" i="7"/>
  <c r="U119" i="7"/>
  <c r="U128" i="7"/>
  <c r="U116" i="7"/>
  <c r="R121" i="7"/>
  <c r="F35" i="17" s="1"/>
  <c r="B69" i="17"/>
  <c r="F69" i="17"/>
  <c r="E69" i="17" s="1"/>
  <c r="R84" i="7"/>
  <c r="F89" i="16"/>
  <c r="G22" i="13"/>
  <c r="G212" i="6"/>
  <c r="U82" i="7"/>
  <c r="U83" i="7"/>
  <c r="U90" i="7"/>
  <c r="U91" i="7"/>
  <c r="F119" i="6" l="1"/>
  <c r="F129" i="6" s="1"/>
  <c r="G56" i="6"/>
  <c r="H22" i="13" s="1"/>
  <c r="F88" i="16"/>
  <c r="G15" i="17"/>
  <c r="G22" i="17" s="1"/>
  <c r="E15" i="17"/>
  <c r="E22" i="17" s="1"/>
  <c r="E25" i="17" s="1"/>
  <c r="F46" i="17"/>
  <c r="E46" i="17" s="1"/>
  <c r="F41" i="16"/>
  <c r="J28" i="16"/>
  <c r="J32" i="16" s="1"/>
  <c r="F240" i="6"/>
  <c r="G233" i="6"/>
  <c r="G240" i="6" s="1"/>
  <c r="E55" i="17"/>
  <c r="F136" i="6"/>
  <c r="F133" i="6" s="1"/>
  <c r="AA5" i="7"/>
  <c r="Z96" i="7" s="1"/>
  <c r="U121" i="7"/>
  <c r="E67" i="16" s="1"/>
  <c r="F185" i="6"/>
  <c r="G185" i="6" s="1"/>
  <c r="F186" i="6"/>
  <c r="G186" i="6" s="1"/>
  <c r="F36" i="17"/>
  <c r="E36" i="17" s="1"/>
  <c r="R96" i="7"/>
  <c r="U84" i="7"/>
  <c r="E68" i="16" s="1"/>
  <c r="R16" i="7"/>
  <c r="R31" i="7"/>
  <c r="R32" i="7"/>
  <c r="R33" i="7"/>
  <c r="U95" i="7"/>
  <c r="W5" i="7"/>
  <c r="G30" i="13"/>
  <c r="R142" i="7"/>
  <c r="R133" i="7"/>
  <c r="R17" i="7"/>
  <c r="C374" i="7"/>
  <c r="D243" i="7"/>
  <c r="E35" i="17"/>
  <c r="D276" i="7"/>
  <c r="R4" i="7"/>
  <c r="G119" i="6"/>
  <c r="G129" i="6" s="1"/>
  <c r="U4" i="7" s="1"/>
  <c r="F299" i="6"/>
  <c r="Z108" i="7" l="1"/>
  <c r="Z107" i="7"/>
  <c r="Z98" i="7"/>
  <c r="Z99" i="7"/>
  <c r="H30" i="13"/>
  <c r="U5" i="7"/>
  <c r="U17" i="7" s="1"/>
  <c r="AA16" i="7"/>
  <c r="AA17" i="7"/>
  <c r="W10" i="7"/>
  <c r="E24" i="19"/>
  <c r="E46" i="19" s="1"/>
  <c r="R10" i="7"/>
  <c r="Q10" i="7"/>
  <c r="R34" i="7"/>
  <c r="W16" i="7"/>
  <c r="W17" i="7"/>
  <c r="G136" i="6"/>
  <c r="G133" i="6" s="1"/>
  <c r="R108" i="7"/>
  <c r="R107" i="7"/>
  <c r="G377" i="7"/>
  <c r="E379" i="7"/>
  <c r="G378" i="7"/>
  <c r="R146" i="7"/>
  <c r="R145" i="7"/>
  <c r="R144" i="7"/>
  <c r="R135" i="7"/>
  <c r="R136" i="7"/>
  <c r="U133" i="7"/>
  <c r="X107" i="7"/>
  <c r="X108" i="7"/>
  <c r="X99" i="7"/>
  <c r="X98" i="7"/>
  <c r="R98" i="7"/>
  <c r="R99" i="7"/>
  <c r="Z101" i="7" l="1"/>
  <c r="AA9" i="7"/>
  <c r="U16" i="7"/>
  <c r="F132" i="6"/>
  <c r="R138" i="7"/>
  <c r="F37" i="17" s="1"/>
  <c r="U31" i="7"/>
  <c r="U10" i="7"/>
  <c r="U32" i="7"/>
  <c r="W34" i="7"/>
  <c r="X110" i="7"/>
  <c r="W26" i="7"/>
  <c r="X101" i="7"/>
  <c r="R101" i="7"/>
  <c r="R147" i="7"/>
  <c r="U136" i="7"/>
  <c r="U135" i="7"/>
  <c r="Q9" i="7"/>
  <c r="R9" i="7"/>
  <c r="Q8" i="7"/>
  <c r="R8" i="7"/>
  <c r="R18" i="7"/>
  <c r="G255" i="6" l="1"/>
  <c r="F255" i="6"/>
  <c r="AA18" i="7"/>
  <c r="AA8" i="7"/>
  <c r="F34" i="17"/>
  <c r="G132" i="6"/>
  <c r="F187" i="6"/>
  <c r="G187" i="6" s="1"/>
  <c r="F131" i="6"/>
  <c r="U138" i="7"/>
  <c r="U9" i="7"/>
  <c r="U34" i="7"/>
  <c r="W9" i="7"/>
  <c r="W18" i="7"/>
  <c r="W8" i="7"/>
  <c r="G184" i="6"/>
  <c r="F184" i="6"/>
  <c r="F130" i="6"/>
  <c r="Q11" i="7"/>
  <c r="U18" i="7"/>
  <c r="U8" i="7"/>
  <c r="E69" i="16" l="1"/>
  <c r="G131" i="6"/>
  <c r="F190" i="6"/>
  <c r="E37" i="17"/>
  <c r="G190" i="6"/>
  <c r="W11" i="7"/>
  <c r="U99" i="7"/>
  <c r="U108" i="7"/>
  <c r="U107" i="7"/>
  <c r="U98" i="7"/>
  <c r="G130" i="6"/>
  <c r="U11" i="7"/>
  <c r="F134" i="6"/>
  <c r="F300" i="6"/>
  <c r="F301" i="6" s="1"/>
  <c r="E58" i="16" l="1"/>
  <c r="U110" i="7"/>
  <c r="U101" i="7"/>
  <c r="G134" i="6"/>
  <c r="F28" i="17" s="1"/>
  <c r="E66" i="16" l="1"/>
  <c r="E72" i="16" s="1"/>
  <c r="E28" i="17"/>
  <c r="Q31" i="7" l="1"/>
  <c r="Q32" i="7"/>
  <c r="Q33" i="7"/>
  <c r="F62" i="16"/>
  <c r="E62" i="16" s="1"/>
  <c r="E27" i="13"/>
  <c r="M10" i="7" l="1"/>
  <c r="N10" i="7"/>
  <c r="V10" i="7"/>
  <c r="Q34" i="7"/>
  <c r="AA10" i="7" l="1"/>
  <c r="AA11" i="7" s="1"/>
  <c r="F30" i="13"/>
  <c r="E136" i="6"/>
  <c r="E133" i="6" s="1"/>
  <c r="W107" i="7"/>
  <c r="W99" i="7"/>
  <c r="W108" i="7"/>
  <c r="W98" i="7"/>
  <c r="B132" i="6"/>
  <c r="D132" i="6"/>
  <c r="W110" i="7"/>
  <c r="T10" i="7"/>
  <c r="T32" i="7"/>
  <c r="T31" i="7"/>
  <c r="V34" i="7"/>
  <c r="Q138" i="7"/>
  <c r="V26" i="7"/>
  <c r="AA52" i="7" l="1"/>
  <c r="E28" i="19"/>
  <c r="W101" i="7"/>
  <c r="E132" i="6"/>
  <c r="T34" i="7"/>
  <c r="T138" i="7"/>
  <c r="T110" i="7"/>
  <c r="D187" i="6"/>
  <c r="E187" i="6" s="1"/>
  <c r="C69" i="16"/>
  <c r="E184" i="6" l="1"/>
  <c r="E190" i="6" s="1"/>
  <c r="D28" i="19" l="1"/>
  <c r="V110" i="7" l="1"/>
  <c r="F40" i="17" l="1"/>
  <c r="E40" i="17" s="1"/>
  <c r="E34" i="17" l="1"/>
  <c r="F380" i="7" l="1"/>
  <c r="X31" i="7"/>
  <c r="Y31" i="7" s="1"/>
  <c r="X32" i="7"/>
  <c r="Y32" i="7" s="1"/>
  <c r="E382" i="7" l="1"/>
  <c r="G380" i="7"/>
  <c r="C385" i="7"/>
  <c r="F381" i="7"/>
  <c r="E385" i="7" l="1"/>
  <c r="X33" i="7" l="1"/>
  <c r="X10" i="7" l="1"/>
  <c r="Y33" i="7"/>
  <c r="X34" i="7"/>
  <c r="Y10" i="7" l="1"/>
  <c r="Y34" i="7"/>
  <c r="F161" i="6" l="1"/>
  <c r="P210" i="7" s="1"/>
  <c r="F166" i="6"/>
  <c r="P211" i="7" s="1"/>
  <c r="R211" i="7" s="1"/>
  <c r="F168" i="6" l="1"/>
  <c r="F169" i="6" s="1"/>
  <c r="F171" i="6" s="1"/>
  <c r="R210" i="7"/>
  <c r="R212" i="7" s="1"/>
  <c r="F172" i="6" s="1"/>
  <c r="P212" i="7"/>
  <c r="G33" i="13" l="1"/>
  <c r="F173" i="6"/>
  <c r="F175" i="6" s="1"/>
  <c r="G24" i="17" s="1"/>
  <c r="G25" i="17" s="1"/>
  <c r="G34" i="13" l="1"/>
  <c r="F176" i="6"/>
  <c r="G182" i="6" s="1"/>
  <c r="G191" i="6" s="1"/>
  <c r="G192" i="6" s="1"/>
  <c r="G241" i="6" s="1"/>
  <c r="G244" i="6" s="1"/>
  <c r="E60" i="16" l="1"/>
  <c r="E63" i="16" s="1"/>
  <c r="F182" i="6"/>
  <c r="F191" i="6" s="1"/>
  <c r="F192" i="6" s="1"/>
  <c r="F241" i="6" s="1"/>
  <c r="F244" i="6" s="1"/>
  <c r="F30" i="17"/>
  <c r="E30" i="17" s="1"/>
  <c r="E31" i="17" s="1"/>
  <c r="G246" i="6"/>
  <c r="D230" i="7" s="1"/>
  <c r="G252" i="6" l="1"/>
  <c r="G262" i="6" s="1"/>
  <c r="F73" i="16"/>
  <c r="F76" i="16" s="1"/>
  <c r="F90" i="16" s="1"/>
  <c r="F31" i="17"/>
  <c r="F41" i="17" s="1"/>
  <c r="E41" i="17" s="1"/>
  <c r="G247" i="6"/>
  <c r="G270" i="6"/>
  <c r="E27" i="19"/>
  <c r="E29" i="19" s="1"/>
  <c r="E30" i="19" s="1"/>
  <c r="E31" i="19" s="1"/>
  <c r="H36" i="13"/>
  <c r="F246" i="6" l="1"/>
  <c r="D231" i="7" s="1"/>
  <c r="F42" i="17"/>
  <c r="F252" i="6" l="1"/>
  <c r="F262" i="6" s="1"/>
  <c r="G36" i="13"/>
  <c r="E10" i="16"/>
  <c r="F12" i="16" s="1"/>
  <c r="E42" i="17"/>
  <c r="E56" i="17" s="1"/>
  <c r="F56" i="17"/>
  <c r="E8" i="16"/>
  <c r="F270" i="6"/>
  <c r="F247" i="6"/>
  <c r="C8" i="8" l="1"/>
  <c r="E7" i="17"/>
  <c r="F7" i="17" s="1"/>
  <c r="D261" i="7"/>
  <c r="D252" i="7"/>
  <c r="D259" i="7"/>
  <c r="D249" i="7"/>
  <c r="D248" i="7"/>
  <c r="D258" i="7"/>
  <c r="D251" i="7"/>
  <c r="D247" i="7"/>
  <c r="D262" i="7"/>
  <c r="D260" i="7"/>
  <c r="D250" i="7"/>
  <c r="D254" i="7" l="1"/>
  <c r="D233" i="7" s="1"/>
  <c r="D234" i="7" l="1"/>
  <c r="G251" i="6" l="1"/>
  <c r="G267" i="6" s="1"/>
  <c r="F251" i="6"/>
  <c r="F267" i="6" s="1"/>
  <c r="G272" i="6" l="1"/>
  <c r="H37" i="13"/>
  <c r="G271" i="6"/>
  <c r="G37" i="13"/>
  <c r="F271" i="6"/>
  <c r="E5" i="16"/>
  <c r="F272" i="6"/>
  <c r="H38" i="13" l="1"/>
  <c r="G277" i="6"/>
  <c r="F4" i="16"/>
  <c r="F273" i="6"/>
  <c r="F277" i="6"/>
  <c r="F285" i="6" s="1"/>
  <c r="G38" i="13"/>
  <c r="G285" i="6" l="1"/>
  <c r="H39" i="13"/>
  <c r="F286" i="6"/>
  <c r="G39" i="13"/>
  <c r="U7" i="8" l="1"/>
  <c r="G286" i="6"/>
  <c r="F386" i="7"/>
  <c r="E388" i="7" l="1"/>
  <c r="F387" i="7"/>
  <c r="G386" i="7"/>
  <c r="D190" i="7" l="1"/>
  <c r="D122" i="6"/>
  <c r="D86" i="6"/>
  <c r="D179" i="6" s="1"/>
  <c r="E209" i="6" l="1"/>
  <c r="E210" i="6"/>
  <c r="E211" i="6"/>
  <c r="C47" i="16"/>
  <c r="C55" i="16" s="1"/>
  <c r="C57" i="16" s="1"/>
  <c r="D61" i="16" s="1"/>
  <c r="D209" i="6"/>
  <c r="D123" i="6"/>
  <c r="D129" i="6" s="1"/>
  <c r="D284" i="6" s="1"/>
  <c r="D41" i="16"/>
  <c r="D181" i="6"/>
  <c r="E25" i="13"/>
  <c r="C87" i="16" l="1"/>
  <c r="C85" i="16"/>
  <c r="D238" i="6"/>
  <c r="E238" i="6" s="1"/>
  <c r="C86" i="16"/>
  <c r="D62" i="16"/>
  <c r="C62" i="16" s="1"/>
  <c r="T95" i="7"/>
  <c r="T99" i="7" s="1"/>
  <c r="V5" i="7"/>
  <c r="V16" i="7" s="1"/>
  <c r="C243" i="7"/>
  <c r="D239" i="6"/>
  <c r="E239" i="6" s="1"/>
  <c r="I28" i="16"/>
  <c r="D212" i="6"/>
  <c r="D213" i="6" s="1"/>
  <c r="Z5" i="7"/>
  <c r="Y96" i="7" s="1"/>
  <c r="C351" i="7"/>
  <c r="D299" i="6"/>
  <c r="D656" i="6" s="1"/>
  <c r="Q17" i="7"/>
  <c r="N9" i="7" s="1"/>
  <c r="B131" i="6" s="1"/>
  <c r="T4" i="7"/>
  <c r="T5" i="7" s="1"/>
  <c r="T17" i="7" s="1"/>
  <c r="T9" i="7" s="1"/>
  <c r="E131" i="6" s="1"/>
  <c r="Q96" i="7"/>
  <c r="B184" i="6" s="1"/>
  <c r="D136" i="6"/>
  <c r="D133" i="6" s="1"/>
  <c r="E30" i="13"/>
  <c r="Q142" i="7"/>
  <c r="Q144" i="7" s="1"/>
  <c r="Q133" i="7"/>
  <c r="Q135" i="7" s="1"/>
  <c r="C276" i="7"/>
  <c r="N4" i="7"/>
  <c r="P17" i="7" s="1"/>
  <c r="E212" i="6"/>
  <c r="D88" i="16" l="1"/>
  <c r="E356" i="7"/>
  <c r="I32" i="16"/>
  <c r="T98" i="7"/>
  <c r="T101" i="7" s="1"/>
  <c r="C66" i="16" s="1"/>
  <c r="C72" i="16" s="1"/>
  <c r="D240" i="6"/>
  <c r="T108" i="7"/>
  <c r="T107" i="7"/>
  <c r="V17" i="7"/>
  <c r="V9" i="7" s="1"/>
  <c r="Q16" i="7"/>
  <c r="M8" i="7" s="1"/>
  <c r="D130" i="6" s="1"/>
  <c r="Q99" i="7"/>
  <c r="B34" i="17"/>
  <c r="E240" i="6"/>
  <c r="G354" i="7"/>
  <c r="Z17" i="7"/>
  <c r="Z9" i="7" s="1"/>
  <c r="Z16" i="7"/>
  <c r="G355" i="7"/>
  <c r="Q108" i="7"/>
  <c r="M9" i="7"/>
  <c r="D131" i="6" s="1"/>
  <c r="T16" i="7"/>
  <c r="T18" i="7" s="1"/>
  <c r="Q98" i="7"/>
  <c r="Q107" i="7"/>
  <c r="Q136" i="7"/>
  <c r="Q146" i="7"/>
  <c r="T133" i="7"/>
  <c r="T136" i="7" s="1"/>
  <c r="Q145" i="7"/>
  <c r="Y98" i="7"/>
  <c r="Y99" i="7"/>
  <c r="Y108" i="7"/>
  <c r="Y107" i="7"/>
  <c r="V8" i="7"/>
  <c r="V18" i="7" l="1"/>
  <c r="V11" i="7"/>
  <c r="N8" i="7"/>
  <c r="B130" i="6" s="1"/>
  <c r="Q18" i="7"/>
  <c r="Q101" i="7"/>
  <c r="D184" i="6" s="1"/>
  <c r="D190" i="6" s="1"/>
  <c r="Z18" i="7"/>
  <c r="Z8" i="7"/>
  <c r="Z11" i="7" s="1"/>
  <c r="M11" i="7"/>
  <c r="T8" i="7"/>
  <c r="T11" i="7" s="1"/>
  <c r="D134" i="6"/>
  <c r="T135" i="7"/>
  <c r="Q147" i="7"/>
  <c r="B113" i="6" s="1"/>
  <c r="Y101" i="7"/>
  <c r="C58" i="16" l="1"/>
  <c r="C63" i="16" s="1"/>
  <c r="D73" i="16" s="1"/>
  <c r="D76" i="16" s="1"/>
  <c r="D90" i="16" s="1"/>
  <c r="D300" i="6"/>
  <c r="D301" i="6" s="1"/>
  <c r="E130" i="6"/>
  <c r="E134" i="6" s="1"/>
  <c r="E182" i="6" s="1"/>
  <c r="E191" i="6" s="1"/>
  <c r="E192" i="6" s="1"/>
  <c r="D182" i="6"/>
  <c r="D191" i="6" s="1"/>
  <c r="D192" i="6" s="1"/>
  <c r="D657" i="6" l="1"/>
  <c r="D651" i="6"/>
  <c r="E241" i="6"/>
  <c r="D241" i="6"/>
  <c r="E658" i="6"/>
  <c r="D244" i="6" l="1"/>
  <c r="E244" i="6"/>
  <c r="E246" i="6" s="1"/>
  <c r="C230" i="7" s="1"/>
  <c r="E252" i="6" l="1"/>
  <c r="E262" i="6" s="1"/>
  <c r="C7" i="8"/>
  <c r="D246" i="6"/>
  <c r="C231" i="7" s="1"/>
  <c r="C8" i="16"/>
  <c r="D27" i="19"/>
  <c r="D29" i="19" s="1"/>
  <c r="D30" i="19" s="1"/>
  <c r="D31" i="19" s="1"/>
  <c r="E270" i="6"/>
  <c r="F36" i="13"/>
  <c r="E247" i="6"/>
  <c r="C11" i="8" l="1"/>
  <c r="E11" i="8"/>
  <c r="E6" i="17"/>
  <c r="F6" i="17" s="1"/>
  <c r="C10" i="16"/>
  <c r="D12" i="16" s="1"/>
  <c r="D252" i="6"/>
  <c r="D262" i="6" s="1"/>
  <c r="D270" i="6"/>
  <c r="E36" i="13"/>
  <c r="D247" i="6"/>
  <c r="C247" i="7"/>
  <c r="C252" i="7"/>
  <c r="C259" i="7"/>
  <c r="C260" i="7"/>
  <c r="C262" i="7"/>
  <c r="C258" i="7"/>
  <c r="C250" i="7"/>
  <c r="C249" i="7"/>
  <c r="C248" i="7"/>
  <c r="C251" i="7"/>
  <c r="C261" i="7"/>
  <c r="E8" i="17" l="1"/>
  <c r="F8" i="17" s="1"/>
  <c r="C254" i="7"/>
  <c r="C233" i="7" s="1"/>
  <c r="D18" i="8" l="1"/>
  <c r="D19" i="8" s="1"/>
  <c r="D20" i="8"/>
  <c r="E18" i="8"/>
  <c r="E19" i="8" s="1"/>
  <c r="C234" i="7"/>
  <c r="E251" i="6" s="1"/>
  <c r="E267" i="6" s="1"/>
  <c r="D21" i="8" l="1"/>
  <c r="D23" i="8"/>
  <c r="D251" i="6"/>
  <c r="D267" i="6" s="1"/>
  <c r="E271" i="6"/>
  <c r="E272" i="6"/>
  <c r="E277" i="6" s="1"/>
  <c r="F37" i="13"/>
  <c r="F32" i="8" l="1"/>
  <c r="F33" i="8"/>
  <c r="F30" i="8"/>
  <c r="F31" i="8"/>
  <c r="G31" i="8" s="1"/>
  <c r="H31" i="8" s="1"/>
  <c r="F29" i="8"/>
  <c r="E10" i="17"/>
  <c r="E11" i="17" s="1"/>
  <c r="E19" i="13"/>
  <c r="D22" i="8"/>
  <c r="G32" i="8"/>
  <c r="H32" i="8" s="1"/>
  <c r="G34" i="8"/>
  <c r="H34" i="8" s="1"/>
  <c r="D272" i="6"/>
  <c r="E37" i="13"/>
  <c r="C5" i="16"/>
  <c r="D271" i="6"/>
  <c r="F38" i="13"/>
  <c r="G33" i="8" l="1"/>
  <c r="H33" i="8" s="1"/>
  <c r="F41" i="8"/>
  <c r="G30" i="8"/>
  <c r="H30" i="8" s="1"/>
  <c r="F10" i="17"/>
  <c r="G29" i="8"/>
  <c r="E285" i="6"/>
  <c r="F39" i="13"/>
  <c r="E12" i="17"/>
  <c r="F11" i="17"/>
  <c r="E38" i="13"/>
  <c r="D277" i="6"/>
  <c r="D4" i="16"/>
  <c r="D273" i="6"/>
  <c r="G41" i="8" l="1"/>
  <c r="U9" i="8" s="1"/>
  <c r="P41" i="8"/>
  <c r="R41" i="8"/>
  <c r="H29" i="8"/>
  <c r="H41" i="8" s="1"/>
  <c r="K41" i="8"/>
  <c r="E286" i="6"/>
  <c r="U6" i="8"/>
  <c r="U8" i="8" s="1"/>
  <c r="F58" i="17"/>
  <c r="E58" i="17" s="1"/>
  <c r="D285" i="6"/>
  <c r="E39" i="13"/>
  <c r="E65" i="17"/>
  <c r="F12" i="17"/>
  <c r="F65" i="17" s="1"/>
  <c r="D286" i="6" l="1"/>
  <c r="V6" i="8"/>
  <c r="U10" i="8"/>
  <c r="V7" i="8"/>
  <c r="V8" i="8" l="1"/>
  <c r="U11" i="8"/>
  <c r="U12" i="8" s="1"/>
  <c r="T10" i="8"/>
  <c r="Q41" i="8" l="1"/>
  <c r="M41" i="8"/>
  <c r="L41" i="8" l="1"/>
  <c r="U31" i="8"/>
  <c r="U30" i="8"/>
  <c r="U29" i="8"/>
  <c r="O41" i="8"/>
  <c r="U32" i="8"/>
  <c r="U33" i="8"/>
  <c r="U34" i="8"/>
  <c r="T41" i="8" l="1"/>
  <c r="N41" i="8"/>
  <c r="D289" i="6" s="1"/>
  <c r="D290" i="6"/>
  <c r="D288" i="6"/>
  <c r="S41" i="8"/>
  <c r="C15" i="16" l="1"/>
  <c r="E15" i="16"/>
  <c r="F289" i="6"/>
  <c r="F288" i="6"/>
  <c r="F290" i="6"/>
  <c r="C95" i="16"/>
  <c r="E15" i="13"/>
  <c r="D291" i="6"/>
  <c r="D295" i="6" s="1"/>
  <c r="C93" i="16"/>
  <c r="C99" i="16" s="1"/>
  <c r="E17" i="13"/>
  <c r="C94" i="16"/>
  <c r="E16" i="13"/>
  <c r="D302" i="6" l="1"/>
  <c r="D305" i="6" s="1"/>
  <c r="F16" i="16"/>
  <c r="F18" i="16" s="1"/>
  <c r="D16" i="16"/>
  <c r="D18" i="16" s="1"/>
  <c r="C98" i="16"/>
  <c r="E93" i="16"/>
  <c r="E99" i="16" s="1"/>
  <c r="E60" i="17"/>
  <c r="F60" i="17" s="1"/>
  <c r="F17" i="13"/>
  <c r="D650" i="6"/>
  <c r="E353" i="7"/>
  <c r="D296" i="6"/>
  <c r="B302" i="6"/>
  <c r="E95" i="16"/>
  <c r="F291" i="6"/>
  <c r="F295" i="6" s="1"/>
  <c r="F302" i="6" s="1"/>
  <c r="F305" i="6" s="1"/>
  <c r="F15" i="13"/>
  <c r="E11" i="13"/>
  <c r="F11" i="13" s="1"/>
  <c r="E18" i="13"/>
  <c r="F16" i="13"/>
  <c r="E94" i="16"/>
  <c r="F357" i="7" l="1"/>
  <c r="E359" i="7" s="1"/>
  <c r="F367" i="7"/>
  <c r="F21" i="16"/>
  <c r="D21" i="16" s="1"/>
  <c r="D20" i="16"/>
  <c r="F61" i="17"/>
  <c r="E61" i="17" s="1"/>
  <c r="C100" i="16"/>
  <c r="D100" i="16" s="1"/>
  <c r="D105" i="16" s="1"/>
  <c r="D107" i="16" s="1"/>
  <c r="E98" i="16"/>
  <c r="E652" i="6"/>
  <c r="E655" i="6"/>
  <c r="E659" i="6" s="1"/>
  <c r="F18" i="13"/>
  <c r="F296" i="6"/>
  <c r="E376" i="7"/>
  <c r="F390" i="7" s="1"/>
  <c r="F358" i="7" l="1"/>
  <c r="C362" i="7"/>
  <c r="E362" i="7" s="1"/>
  <c r="G357" i="7"/>
  <c r="F393" i="7"/>
  <c r="I33" i="16"/>
  <c r="F8" i="13"/>
  <c r="D23" i="16"/>
  <c r="F23" i="16" s="1"/>
  <c r="D108" i="16"/>
  <c r="V95" i="7"/>
  <c r="V98" i="7" s="1"/>
  <c r="V79" i="7"/>
  <c r="V82" i="7" s="1"/>
  <c r="E100" i="16"/>
  <c r="F100" i="16" s="1"/>
  <c r="F105" i="16" s="1"/>
  <c r="F107" i="16" s="1"/>
  <c r="J33" i="16" s="1"/>
  <c r="F363" i="7"/>
  <c r="D665" i="6"/>
  <c r="E660" i="6"/>
  <c r="F303" i="6" l="1"/>
  <c r="F304" i="6"/>
  <c r="K33" i="16"/>
  <c r="D24" i="16"/>
  <c r="L33" i="16"/>
  <c r="F108" i="16"/>
  <c r="F24" i="16" s="1"/>
  <c r="V108" i="7"/>
  <c r="V99" i="7"/>
  <c r="V101" i="7" s="1"/>
  <c r="F57" i="17" s="1"/>
  <c r="E57" i="17" s="1"/>
  <c r="V107" i="7"/>
  <c r="V90" i="7"/>
  <c r="V91" i="7"/>
  <c r="V83" i="7"/>
  <c r="V84" i="7" s="1"/>
  <c r="E365" i="7"/>
  <c r="G363" i="7"/>
  <c r="F364" i="7"/>
  <c r="E661" i="6"/>
  <c r="B661" i="6"/>
  <c r="G24" i="16" l="1"/>
  <c r="H24" i="16" s="1"/>
  <c r="F59" i="17"/>
  <c r="E59" i="17" s="1"/>
  <c r="E62" i="17" s="1"/>
  <c r="F370" i="7"/>
  <c r="D303" i="6" s="1"/>
  <c r="F19" i="16" s="1"/>
  <c r="F22" i="16" s="1"/>
  <c r="G8" i="13" l="1"/>
  <c r="E6" i="13"/>
  <c r="F62" i="17"/>
  <c r="F66" i="17" s="1"/>
  <c r="E66" i="17" s="1"/>
  <c r="E67" i="17" s="1"/>
  <c r="D304" i="6"/>
  <c r="F6" i="13" s="1"/>
  <c r="F67" i="17" l="1"/>
  <c r="X5" i="7" s="1"/>
  <c r="X16" i="7" s="1"/>
  <c r="Y16" i="7" s="1"/>
  <c r="F20" i="16"/>
  <c r="X8" i="7" l="1"/>
  <c r="X17" i="7"/>
  <c r="X18" i="7" s="1"/>
  <c r="E8" i="13"/>
  <c r="Y8" i="7"/>
  <c r="X9" i="7" l="1"/>
  <c r="X11" i="7" s="1"/>
  <c r="Y17" i="7"/>
  <c r="Y9" i="7" s="1"/>
  <c r="Y11" i="7" s="1"/>
  <c r="F68" i="17" s="1"/>
  <c r="Y18" i="7" l="1"/>
  <c r="E68" i="17"/>
  <c r="E70" i="17" s="1"/>
  <c r="E7" i="13" s="1"/>
  <c r="E10" i="13" s="1"/>
  <c r="E12" i="13" s="1"/>
  <c r="F70" i="17"/>
  <c r="F7" i="13" s="1"/>
  <c r="F10" i="13" s="1"/>
  <c r="F1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Snijder, A.J. Sr.</author>
    <author>A.J. Snijder Sr.</author>
  </authors>
  <commentList>
    <comment ref="B11" authorId="0" shapeId="0" xr:uid="{3D6D29BC-8721-4604-A01B-A9D0479FAFDB}">
      <text>
        <r>
          <rPr>
            <b/>
            <sz val="9"/>
            <color indexed="81"/>
            <rFont val="Tahoma"/>
            <family val="2"/>
          </rPr>
          <t>Tremanorm 2023-01:</t>
        </r>
        <r>
          <rPr>
            <sz val="9"/>
            <color indexed="81"/>
            <rFont val="Tahoma"/>
            <family val="2"/>
          </rPr>
          <t xml:space="preserve">
Indien (mogelijk) sprake is van een tekort aan draagkracht om in de behoefte te voorzien en de onderhoudsgerechtigde voldoende onderbouwd stelt dat de werkelijke woonlasten van een onderhoudsplichtige duurzaam aanmerkelijk lager zijn dan het woonbudget, bijvoorbeeld omdat deze samenwoont, ligt het op de weg van de onderhoudsplichtige om inzicht te geven in de eigen werkelijke woonlasten. 
Er kan dan reden zijn om met een lager bedrag dan het woonbudget te rekenen. 
Indien de onderhoudsplichtige samenwoont met een nieuwe partner is bij de beoordeling of bij de onderhoudsplichtige sprake is van een duurzaam aanmerkelijk lagere werkelijke woonlast het uitgangspunt dat de partner de helft van de gezamenlijke woonlast kan dragen.</t>
        </r>
      </text>
    </comment>
    <comment ref="B20" authorId="1" shapeId="0" xr:uid="{00000000-0006-0000-0000-000001000000}">
      <text>
        <r>
          <rPr>
            <sz val="9"/>
            <color indexed="81"/>
            <rFont val="Tahoma"/>
            <family val="2"/>
          </rPr>
          <t>Voor kinderalimentatie blijft NBI ten tijde van relatie gelden, tenzij één ouder nu meer verdiend dan het totale NBI bij scheiding</t>
        </r>
      </text>
    </comment>
    <comment ref="B88" authorId="1" shapeId="0" xr:uid="{51D3A50A-1657-490E-AE39-9BA8635B6B77}">
      <text>
        <r>
          <rPr>
            <b/>
            <sz val="9"/>
            <color indexed="81"/>
            <rFont val="Tahoma"/>
            <family val="2"/>
          </rPr>
          <t>Betreft hier aanvullende, collectief door de werkgeven ingehouden WAO/WIA-gat premie (zoals AP/AOP)</t>
        </r>
      </text>
    </comment>
    <comment ref="B99" authorId="1" shapeId="0" xr:uid="{1FFC67C7-EB4B-4197-AAFC-4AA83D1B192C}">
      <text>
        <r>
          <rPr>
            <b/>
            <sz val="9"/>
            <color indexed="81"/>
            <rFont val="Tahoma"/>
            <family val="2"/>
          </rPr>
          <t>Betreft hier aanvullende, collectief door de werkgeven ingehouden WAO/WIA-gat premie (zoals AP/AOP)</t>
        </r>
      </text>
    </comment>
    <comment ref="B110" authorId="1" shapeId="0" xr:uid="{00000000-0006-0000-0000-000007000000}">
      <text>
        <r>
          <rPr>
            <sz val="9"/>
            <color indexed="81"/>
            <rFont val="Tahoma"/>
            <family val="2"/>
          </rPr>
          <t>Betreft hier aanvullende, collectief door de werkgever ingehouden WAO/WIA-gat premie (zoals AP/AOP)</t>
        </r>
      </text>
    </comment>
    <comment ref="F293" authorId="1" shapeId="0" xr:uid="{00000000-0006-0000-0000-00000A000000}">
      <text>
        <r>
          <rPr>
            <sz val="9"/>
            <color indexed="81"/>
            <rFont val="Tahoma"/>
            <family val="2"/>
          </rPr>
          <t>Bijv. extra ZKV premie</t>
        </r>
      </text>
    </comment>
  </commentList>
</comments>
</file>

<file path=xl/sharedStrings.xml><?xml version="1.0" encoding="utf-8"?>
<sst xmlns="http://schemas.openxmlformats.org/spreadsheetml/2006/main" count="2180" uniqueCount="1149">
  <si>
    <t>Maximaal</t>
  </si>
  <si>
    <t>Jaarloon</t>
  </si>
  <si>
    <t>Bruto jaarloon</t>
  </si>
  <si>
    <t>Alimentatie</t>
  </si>
  <si>
    <t>Kinderalimentatie</t>
  </si>
  <si>
    <t>Werknemersaftrek</t>
  </si>
  <si>
    <t>Fietsaftrek (vervallen)</t>
  </si>
  <si>
    <t>Zeedagenaftrek (vervallen)</t>
  </si>
  <si>
    <t>Nr</t>
  </si>
  <si>
    <t>Winst uit onderneming</t>
  </si>
  <si>
    <t>Aftrekbeperkingen</t>
  </si>
  <si>
    <t>Investeringsaftrek</t>
  </si>
  <si>
    <t>Scholingsaftrek (vervallen)</t>
  </si>
  <si>
    <t>Ondernemersaftrek</t>
  </si>
  <si>
    <t>Belastbaar loon:</t>
  </si>
  <si>
    <t>Winst uit onderneming:</t>
  </si>
  <si>
    <t>Speur- en Ontwikkelingswerkaftrek</t>
  </si>
  <si>
    <t>Meewerkaftrek</t>
  </si>
  <si>
    <t>Belastbare winst uit onderneming:</t>
  </si>
  <si>
    <t>A</t>
  </si>
  <si>
    <t>Resultaat uit overige werkzaamheden</t>
  </si>
  <si>
    <t>Belastbaar resultaat uit overige werkzaamheden:</t>
  </si>
  <si>
    <t>Periodieke uitkeringen en verstrekkingen</t>
  </si>
  <si>
    <t>Aftrekbare kosten (vervallen)</t>
  </si>
  <si>
    <t>Belastbare periodieke uitkeringen en verstrekkingen:</t>
  </si>
  <si>
    <t>Premies voor lijfrenten</t>
  </si>
  <si>
    <t>Premies voor uitkering bij invaliditeit, ziekte of ongeval</t>
  </si>
  <si>
    <t>Premies WAZ (vervallen)</t>
  </si>
  <si>
    <t>Uitgaven voor inkomensvoorziening:</t>
  </si>
  <si>
    <t>Persoonsgebonden aftrek:</t>
  </si>
  <si>
    <t>Inkomensheffing Box 1:</t>
  </si>
  <si>
    <t>BOX II: Inkomen uit aanmerkelijk belang</t>
  </si>
  <si>
    <t>BOX III: Inkomen uit sparen en beleggen</t>
  </si>
  <si>
    <t>Vervreemdingsvoordelen (vervallen)</t>
  </si>
  <si>
    <t>Werkelijke of in redelijkheid te verwerven inkomsten (na aftrek van kosten) uit:</t>
  </si>
  <si>
    <t>Persoonsgebonden aftrek (het niet in box I benutte deel)</t>
  </si>
  <si>
    <t>Heffingskorting</t>
  </si>
  <si>
    <t>- inkomensonafhankelijke combinatiekorting</t>
  </si>
  <si>
    <t>- ouderenkorting</t>
  </si>
  <si>
    <t>Onbelast deel waarde vakantiebonnen</t>
  </si>
  <si>
    <t>119a</t>
  </si>
  <si>
    <t>119b</t>
  </si>
  <si>
    <t>Woonlasten</t>
  </si>
  <si>
    <t>Lasten</t>
  </si>
  <si>
    <t>Kosten kinderopvang</t>
  </si>
  <si>
    <t>Premie begrafenisverzekering (vervallen)</t>
  </si>
  <si>
    <t>Kosten omgangsregeling</t>
  </si>
  <si>
    <t>Andere bijzondere kosten</t>
  </si>
  <si>
    <t>Werkelijke verwervingskosten</t>
  </si>
  <si>
    <t>Aflossing schulden</t>
  </si>
  <si>
    <t>Herinrichtingskosten</t>
  </si>
  <si>
    <t>Overige kosten</t>
  </si>
  <si>
    <t>Draagkrachtruimte</t>
  </si>
  <si>
    <t xml:space="preserve">Alimentatieverplichting (eerdere) ex-partner </t>
  </si>
  <si>
    <t>Voordeel i.v.m. uitgaven voor levensonderhoud van kinderen (vervallen)</t>
  </si>
  <si>
    <t>Per maand</t>
  </si>
  <si>
    <t>Totaal</t>
  </si>
  <si>
    <t>- huurtoeslag</t>
  </si>
  <si>
    <t>Draagkracht</t>
  </si>
  <si>
    <t>Totale woonlasten:</t>
  </si>
  <si>
    <t>13e maand / 14e periodiek</t>
  </si>
  <si>
    <t>Belaste onkostenvergoeding</t>
  </si>
  <si>
    <t>Bruto pensioen (vakantietoeslag niet altijd inbegrepen)</t>
  </si>
  <si>
    <t>Ingehouden pensioenpremie</t>
  </si>
  <si>
    <t>VUT / FPU-premie e.d.</t>
  </si>
  <si>
    <t>Premie WW</t>
  </si>
  <si>
    <t>Premie arbeidsongeschiktheidsverzekering i.v.m. reparatie WAO/WIA-gat (collectieve regeling, premie ingehouden door werkgever)</t>
  </si>
  <si>
    <t>Aanvullende pensioenpremie / premie reparatie WAO/WIA gat (ingehouden door werkgever)</t>
  </si>
  <si>
    <t>Premie Zorgverzekeringswet</t>
  </si>
  <si>
    <t>Belaste bijdrage in ziektekosten</t>
  </si>
  <si>
    <t>Inkomen voor aftrek inkomensheffing (59/60, 65, 76, 79, 98, 102)</t>
  </si>
  <si>
    <t>Niet hoger dan</t>
  </si>
  <si>
    <t>-</t>
  </si>
  <si>
    <t>NA</t>
  </si>
  <si>
    <t>Omschrijving</t>
  </si>
  <si>
    <t>Bruto salaris</t>
  </si>
  <si>
    <t>(Vaste) toelage</t>
  </si>
  <si>
    <t>+</t>
  </si>
  <si>
    <t>Premies werknemersverzekeringen (NB Premie-inkomensgrens)</t>
  </si>
  <si>
    <t>Alternatief</t>
  </si>
  <si>
    <t>(a)</t>
  </si>
  <si>
    <t>Percentage</t>
  </si>
  <si>
    <t>(b)</t>
  </si>
  <si>
    <t>(d)</t>
  </si>
  <si>
    <t xml:space="preserve">(e) </t>
  </si>
  <si>
    <t xml:space="preserve">(c) </t>
  </si>
  <si>
    <t>(f)</t>
  </si>
  <si>
    <t>(g)</t>
  </si>
  <si>
    <t>(h)</t>
  </si>
  <si>
    <t>Verblijfskosten kinderen (Zorgkorting)</t>
  </si>
  <si>
    <t>Eigen aandeel kosten kinderen</t>
  </si>
  <si>
    <t>Leeftijd kind</t>
  </si>
  <si>
    <t>Algemene gegevens</t>
  </si>
  <si>
    <t>Naam</t>
  </si>
  <si>
    <t>Loon per:</t>
  </si>
  <si>
    <t>Maand</t>
  </si>
  <si>
    <t>4 Weken</t>
  </si>
  <si>
    <t>Anders</t>
  </si>
  <si>
    <t>Totaal per jaar</t>
  </si>
  <si>
    <t>Koopwoning</t>
  </si>
  <si>
    <t>WOZ-waarde
meer dan</t>
  </si>
  <si>
    <t>WOZ-waarde
niet meer dan</t>
  </si>
  <si>
    <t>Bedrag forfait</t>
  </si>
  <si>
    <t>Plus vast bedrag</t>
  </si>
  <si>
    <t>Eigenwoning- forfait</t>
  </si>
  <si>
    <t>Onderdeel</t>
  </si>
  <si>
    <t>WOZ waarde eigen woning</t>
  </si>
  <si>
    <t>Geboortedatum</t>
  </si>
  <si>
    <t>Ja / Nee</t>
  </si>
  <si>
    <t>Ja</t>
  </si>
  <si>
    <t>Nee</t>
  </si>
  <si>
    <t>https://www.belastingdienst.nl/wps/wcm/connect/bldcontentnl/belastingdienst/prive/inkomstenbelasting/heffingskortingen_boxen_tarieven/boxen_en_tarieven/overzicht_tarieven_en_schijven/</t>
  </si>
  <si>
    <t>https://www.belastingdienst.nl/wps/wcm/connect/nl/koopwoning/content/hoe-werkt-eigenwoningforfait</t>
  </si>
  <si>
    <t>Netto Besteedbaar Inkomen (NBI) tijdens huwelijk / samenwonen</t>
  </si>
  <si>
    <t>Samengevoegd</t>
  </si>
  <si>
    <t>Stap 1: NBI minus laagste inkomensgrens:</t>
  </si>
  <si>
    <t>Bij een Netto Besteedbaar Inkomen van:</t>
  </si>
  <si>
    <t>Stap 2: Hoogste inkomensgrens - laagste:</t>
  </si>
  <si>
    <t>Stap 3: (Stap 1 : Stap 2) * (Max. - Min.):</t>
  </si>
  <si>
    <t>Bijstandsnorm jongeren:</t>
  </si>
  <si>
    <t>A. jonger dan 21 jaar zonder kinderen:</t>
  </si>
  <si>
    <t>alleenstaande van 18, 19 of 20 jaar</t>
  </si>
  <si>
    <t>gehuwd, beide echtgenoten 18, 19 of 20 jaar</t>
  </si>
  <si>
    <t>gehuwden, een echtgenoot 18, 19 of 20 jaar, de andere 21 jaar of ouder</t>
  </si>
  <si>
    <t>B. jonger dan 21 jaar met een of meer kinderen:</t>
  </si>
  <si>
    <t>alleenstaande ouder van 18, 19 of 20 jaar</t>
  </si>
  <si>
    <t>gehuwden, beide echtgenoten 18, 19 of 20 jaar</t>
  </si>
  <si>
    <t>gehuwden, een echtgenoot 18, 19 of 20 jaar is en de andere 21 jaar of ouder</t>
  </si>
  <si>
    <t>Bijstandsnorm 21 jaar tot pensioengerechtigde leeftijd:</t>
  </si>
  <si>
    <t>Bijstandsnorm pensioengerechtigden:</t>
  </si>
  <si>
    <t>Bijstand voor wie:</t>
  </si>
  <si>
    <t>https://www.socialedienstdrechtsteden.nl/bijstand/ik-heb-een-uitkering/hoe-hoog-is-een-bijstandsuitkering</t>
  </si>
  <si>
    <t>Vak.geld</t>
  </si>
  <si>
    <t>Hoger dan</t>
  </si>
  <si>
    <t>Vast bedrag</t>
  </si>
  <si>
    <t>Totalen:</t>
  </si>
  <si>
    <t>Formules</t>
  </si>
  <si>
    <t>- arbeidskorting</t>
  </si>
  <si>
    <t>- algemene heffingskorting</t>
  </si>
  <si>
    <t>Rendementsgrondslag</t>
  </si>
  <si>
    <t>Geen</t>
  </si>
  <si>
    <t>4) U hebt geen fiscale partner of u hebt minder dan 6 maanden een fiscale partner.</t>
  </si>
  <si>
    <r>
      <t xml:space="preserve">    </t>
    </r>
    <r>
      <rPr>
        <u/>
        <sz val="10"/>
        <color rgb="FF000000"/>
        <rFont val="Verdana"/>
        <family val="2"/>
      </rPr>
      <t>U bent co-ouder in de volgende gevallen:</t>
    </r>
  </si>
  <si>
    <t>Wordt er voldaan aan de onderstaande voorwaarden?</t>
  </si>
  <si>
    <t>- alleenstaande ouderenkorting (AOW-ers)</t>
  </si>
  <si>
    <t>https://www.belastingdienst.nl/wps/wcm/connect/bldcontentnl/belastingdienst/prive/inkomstenbelasting/heffingskortingen_boxen_tarieven/heffingskortingen/heffingskortingen_voor_aow_gerechtigden</t>
  </si>
  <si>
    <t>In het jaar van aangifte geen of een gedeeltelijke AOW-uitkering voor een alleenstaande krijgt, omdat u vóór de AOW-leeftijd in het buitenland woonde</t>
  </si>
  <si>
    <t>of erkend gemoedsbezwaarde bent en daarom geen (volledig) recht op een AOW-uitkering hebt opgebouwd</t>
  </si>
  <si>
    <t>Waarde</t>
  </si>
  <si>
    <t>Inkomsten uit arbeid?</t>
  </si>
  <si>
    <t>Bruto maandlast</t>
  </si>
  <si>
    <t>https://www.rijksoverheid.nl/onderwerpen/zorgverzekering/vraag-en-antwoord/eigen-risico-zorgverzekering</t>
  </si>
  <si>
    <t>Uitkering per</t>
  </si>
  <si>
    <t>Bruto WW, WAO/WIA of AOW uitkering</t>
  </si>
  <si>
    <t>Bruto uitkering</t>
  </si>
  <si>
    <t>Vakantietoeslag</t>
  </si>
  <si>
    <t>Bruto pensioen uitkering (50)</t>
  </si>
  <si>
    <t>Eventuele vakantietoeslag</t>
  </si>
  <si>
    <t>Extra betaalde premies / Inkomensvoorziening</t>
  </si>
  <si>
    <t>Een werkgeversbijdrage in de ziektekosten (anders dan bij 57) wordt normaal gezien als belast loon. De bijdrage dan hier invullen.</t>
  </si>
  <si>
    <t>Wordt berekend over het loon per werkdag, maar dan over niet meer dan het maximum dagloon na aftrek van een franchise.</t>
  </si>
  <si>
    <t>Premie collectieve aanvullende verzekering arbeidsongeschiktheid t.b.v. reparatie van het WAO/WIA gat. Premie staat op de loonstrook</t>
  </si>
  <si>
    <t>Betreft hier aanvullende, collectief door de werkgever ingehouden WAO/WIA-gat premie (zoals premie AP/AOP)</t>
  </si>
  <si>
    <t>(nr. 41 t/m 50) - (nr. 51 t/m 53)</t>
  </si>
  <si>
    <t>(nr. 41 t/m 50)</t>
  </si>
  <si>
    <t>Dit is een lastig vast te stellen post. Mag en kan men vrijwillig stoppen? Ook al tijdens de relatie? Bij schommelingen middelen!</t>
  </si>
  <si>
    <t>Zie salarisspecificatie, het belast zijn betekend nog niet dat het dus gaat om verkapt inkomen !!</t>
  </si>
  <si>
    <t>Andere bruto arbeidsinkomsten, dit is niet van toepassing voor incidentele of al in het bruto inkomen opgenomen posten!</t>
  </si>
  <si>
    <t>Bij een ZW-uitkering van het UWV blijft recht op de Arbeidskorting bestaan.</t>
  </si>
  <si>
    <t>Uitkering in het kader van WW-, WAO/WIA- en AOW-uitkering</t>
  </si>
  <si>
    <t>Bruto pensioen uitkering (inclusief eventueel vakantiegeld)</t>
  </si>
  <si>
    <t>Ingehouden pensioenpremie op jaarbasis, zie de loonstroken</t>
  </si>
  <si>
    <t>(nr. 54) - (nr. 55 t/m 57) + nr.58</t>
  </si>
  <si>
    <t>--</t>
  </si>
  <si>
    <r>
      <t xml:space="preserve">Alleen invullen als de bijdrage ZVW </t>
    </r>
    <r>
      <rPr>
        <b/>
        <u/>
        <sz val="11"/>
        <rFont val="Calibri"/>
        <family val="2"/>
        <scheme val="minor"/>
      </rPr>
      <t>op het loon</t>
    </r>
    <r>
      <rPr>
        <sz val="11"/>
        <rFont val="Calibri"/>
        <family val="2"/>
        <scheme val="minor"/>
      </rPr>
      <t xml:space="preserve"> van de onderhoudsplichtige wordt ingehouden. Als de werkgever/instantie deze bijdrage betaald (wordt dus niet ingehouden) 0 invullen.</t>
    </r>
  </si>
  <si>
    <t>Kosten o.b.v. OV-verklaring bij regelmatig woon-/werkverkeer en meer dan 10 km/dag, verminderd met een eventuele ontvangen vergoeding.</t>
  </si>
  <si>
    <t>(nr. 65 + 66) - (nr. 67 t/m 69)</t>
  </si>
  <si>
    <t>(nr. 70) - (nr. 71 t/m 74)</t>
  </si>
  <si>
    <t>Rente en kosten van (hypothecaire) schulden i.v.m. de eigen woning</t>
  </si>
  <si>
    <t>Verdeling van deze posten over:</t>
  </si>
  <si>
    <t>Premies voor lijfrente ter compensatie van een pensioentekort zijn in bepaalde omstandigheden aftrekbaar</t>
  </si>
  <si>
    <t>Deze premies zijn geheel aftrekbaar</t>
  </si>
  <si>
    <t>(nr.86 t/m 88)</t>
  </si>
  <si>
    <t xml:space="preserve"> (nr.64 + 75 + 78 + 81 + 85) - (nr. 89 + 90 + 93) </t>
  </si>
  <si>
    <t>Reisaftrek (alleen bij regelmatig OV reizen  &gt; 10 km minus vergoeding)</t>
  </si>
  <si>
    <t>Let op de inkomensafhankelijke drempel! Zie voor details https://www.belastingdienst.nl</t>
  </si>
  <si>
    <t>Voor het juist bepalen van deze post is vaak gedegen kennis vereist</t>
  </si>
  <si>
    <t>Toeslagen (o.a. ouderentoeslag)</t>
  </si>
  <si>
    <t>Waarde aan het einde van het jaar van: (vervallen)</t>
  </si>
  <si>
    <t>(nr.105) - (nr. 106 t/m 107)</t>
  </si>
  <si>
    <t>Schijf</t>
  </si>
  <si>
    <t>Jaar</t>
  </si>
  <si>
    <t>zonder fiscale partner</t>
  </si>
  <si>
    <t>met fiscale partner</t>
  </si>
  <si>
    <r>
      <t>Heffingsvrij vermogen kan worden verhoogd bij groene beleggingen (</t>
    </r>
    <r>
      <rPr>
        <sz val="11"/>
        <color rgb="FFFF0000"/>
        <rFont val="Calibri"/>
        <family val="2"/>
        <scheme val="minor"/>
      </rPr>
      <t>niet opgenomen in tabel Basisgegevens</t>
    </r>
    <r>
      <rPr>
        <sz val="11"/>
        <rFont val="Calibri"/>
        <family val="2"/>
        <scheme val="minor"/>
      </rPr>
      <t>)</t>
    </r>
  </si>
  <si>
    <t>U betaalt belasting over uw inkomen uit uw vermogen: De zogenoemde grondslag sparen en beleggen (box 3). Dat is de waarde van uw bezittingen min uw schulden op 1 januari van het jaar waarover u aangifte doet, min uw heffingsvrij vermogen. Wij belasten niet de werkelijke opbrengst, maar een percentage van de waarde van de grondslag sparen en beleggen.</t>
  </si>
  <si>
    <t>Komt in plaats van post 41 als er sprake in van loon en vakantiebonnen, dit Inkomen kan niet zonder meer uit de salarisspecificatie worden afgelezen maar moet worden berekend!</t>
  </si>
  <si>
    <t>Arbeidsinkomen:</t>
  </si>
  <si>
    <t>Arbeidsinkomen</t>
  </si>
  <si>
    <t>Verzamelinkomen:</t>
  </si>
  <si>
    <t>= nr.94</t>
  </si>
  <si>
    <t>Huidig berekeningsjaar is:</t>
  </si>
  <si>
    <t>AOW-jaar:</t>
  </si>
  <si>
    <r>
      <t xml:space="preserve">U krijgt de ouderenkorting als u: </t>
    </r>
    <r>
      <rPr>
        <u/>
        <sz val="10"/>
        <color rgb="FF000000"/>
        <rFont val="Verdana"/>
        <family val="2"/>
      </rPr>
      <t>Op 31-12 van het jaar van berekening de AOW leeftijd hebt.</t>
    </r>
  </si>
  <si>
    <t>Verschuldigde belasting:</t>
  </si>
  <si>
    <t>Geboren voor:</t>
  </si>
  <si>
    <t>Belasting</t>
  </si>
  <si>
    <t>Drempelinkomen:</t>
  </si>
  <si>
    <t>Verzamelinkomen: Optelsom van de inkomens uit de 3 boxen min de aftrekposten, exclusief de persoonsgebonden aftrek in box 1, 2 en/of 3</t>
  </si>
  <si>
    <t>Te betalen belasting (samengesteld uit de onderstaande 4 tariefsoorten (niet AOW / Geboren voor of juist op/na 01-01-1946 / In berekeningsjaar pas recht op AOW</t>
  </si>
  <si>
    <t>= nr.94 - (nr. 77, 99 en 110)</t>
  </si>
  <si>
    <t>Forfaitaire bedragen</t>
  </si>
  <si>
    <t>Code</t>
  </si>
  <si>
    <t>Toelichting / uitleg / Wetenwaardigheden</t>
  </si>
  <si>
    <t>+/-</t>
  </si>
  <si>
    <t>Opmerkingen</t>
  </si>
  <si>
    <t>Geldt onder meer als men, al dan niet tezamen met zijn partner, direct of indirect voor tenminste 5% van het geplaatste kapitaal aandeelhouder is.</t>
  </si>
  <si>
    <t>(nr.96 + nr.98 - nr. 99)</t>
  </si>
  <si>
    <t>Inkomsten uit arbeid:</t>
  </si>
  <si>
    <t>Vaste tarief inkomstenbelasting in box II</t>
  </si>
  <si>
    <t>Bij AOW-ers is er de ouderentoeslag mits de gemiddelde rendements- grondslag niet hoger is dan een in de wet vastgesteld bedrag en is afhankelijk van het inkomen in Box 1</t>
  </si>
  <si>
    <t>Vaste tarief inkomstenbelasting in box III</t>
  </si>
  <si>
    <t>Berekenings- en belasting percentages</t>
  </si>
  <si>
    <t>Inkomensheffing box I en inkomensbelasting box II en III</t>
  </si>
  <si>
    <t>(nr.95 + nr.101 + nr.112)</t>
  </si>
  <si>
    <t>Ouderenkorting</t>
  </si>
  <si>
    <t>Tabel eigenwoningforfait</t>
  </si>
  <si>
    <t>(nr.109 - nr.110)</t>
  </si>
  <si>
    <t>Belastbaar inkomen uit sparen en beleggen (Box III):</t>
  </si>
  <si>
    <t>Belastbaar inkomen uit aanmerkelijk belang (Box II):</t>
  </si>
  <si>
    <t>Vervallen</t>
  </si>
  <si>
    <t>Onderwerp / Onderdeel</t>
  </si>
  <si>
    <t>BOX I: Inkomen uit woning en werk</t>
  </si>
  <si>
    <t>(nr. 115 alle posten)</t>
  </si>
  <si>
    <t>(nr.114 - nr.116)</t>
  </si>
  <si>
    <t>Bij verstrekking van vakantiebonnen hier (als het niet om een WW-uitkering gaat) de onbelaste waarde hiervan opgeven . Dit onbelaste deel komt niet voor op de jaaropgaaf van de werkgever. Zie 45 en 60.</t>
  </si>
  <si>
    <t>Besteedbaar inkomen per jaar, voor aftrek van de verschuldigde inkomensafhankelijke bijdrage ZVW</t>
  </si>
  <si>
    <t>(nr.120 / 12)</t>
  </si>
  <si>
    <t>De werkelijke woonlasten zijn: Kale huur + evt. servicekosten zoals bijdragen in het elektriciteitsverbruik van lift en in het schoonhouden van gemeenschappelijke ruimten.</t>
  </si>
  <si>
    <t>Bedrag waarop per maand recht aan huurtoeslag bestaat</t>
  </si>
  <si>
    <t>In het algemeen is met de noodzakelijke kosten van kinderopvang al rekening gehouden bij de bepaling van de behoefte van de kinderen.</t>
  </si>
  <si>
    <t>Bijvoorbeeld: Autokosten, indien deze sociaal en/of medisch noodzakelijk zijn, terwijl daarvoor geen vergoeding kan worden verkregen.</t>
  </si>
  <si>
    <t>Betaling van rente en aflossing op schulden, aangegaan t.b.v. de gemeenschappelijke huishouding ten tijde van de relatie en andere uit die tijd stammende verplichtingen wordt altijd in aanmerking genomen</t>
  </si>
  <si>
    <t xml:space="preserve">Geldt voor degene die aan zijn ex-partner de inboedel laat, is wel afhankelijk van de omstandigheden (o.a. kinderalimentatie), maar als de noodzaak van herinrichting vaststaat en de kosten niet uit spaargeld kunnen worden voldaan, kan een schuld van maximaal € 5.500,- met verplichting van € 125,-/maand in het algemeen redelijk worden geacht. </t>
  </si>
  <si>
    <t>Voor de verwerking van kosten verbonden aan de zorgregeling, zie paragraaf 5.2.2.</t>
  </si>
  <si>
    <t>(nr.122 t/m nr.134)</t>
  </si>
  <si>
    <t>(nr.121 - nr.135)</t>
  </si>
  <si>
    <t>De Expertgroep beveelt aan om de partneralimentatie hier af te trekken en niet vóór de berekening van het besteedbaar inkomen</t>
  </si>
  <si>
    <t>(nr.140 - nr.141)</t>
  </si>
  <si>
    <t>Nr.</t>
  </si>
  <si>
    <t>Pensioenpremie</t>
  </si>
  <si>
    <t>Stap</t>
  </si>
  <si>
    <t xml:space="preserve">(NA) heeft dus een nieuwe waarde gekregen, </t>
  </si>
  <si>
    <t>Ga naar stap</t>
  </si>
  <si>
    <t>Is (BI) kleiner dan of gelijk aan</t>
  </si>
  <si>
    <t>Is (BI) kleiner dan of gelijk aan?</t>
  </si>
  <si>
    <t>Factor</t>
  </si>
  <si>
    <t>(post 94, evt. verminderd na verhoging van persoonsgebonden aftrek op grond van 139)</t>
  </si>
  <si>
    <t>(P)</t>
  </si>
  <si>
    <t>De netto alimentatie (NA)  per jaar</t>
  </si>
  <si>
    <t>Drempelbedrag</t>
  </si>
  <si>
    <t>(NA)</t>
  </si>
  <si>
    <t>Bedragen</t>
  </si>
  <si>
    <t>Eindbedragen</t>
  </si>
  <si>
    <t>Bereken (NA) - (P)</t>
  </si>
  <si>
    <t>(NA) heeft dus een nieuwe waarde gekregen,</t>
  </si>
  <si>
    <t>Transport BI:</t>
  </si>
  <si>
    <t xml:space="preserve"> Belasting bij kinderalimentatie</t>
  </si>
  <si>
    <t>Vanaf</t>
  </si>
  <si>
    <t>n.v.t</t>
  </si>
  <si>
    <t>Beschikbaar voor partner en kinderalimentatie</t>
  </si>
  <si>
    <t>Zorgkorting</t>
  </si>
  <si>
    <t>Getal</t>
  </si>
  <si>
    <t>Geboren op</t>
  </si>
  <si>
    <r>
      <t xml:space="preserve">Ink.afh. Combinatiekorting </t>
    </r>
    <r>
      <rPr>
        <b/>
        <u/>
        <sz val="11"/>
        <color rgb="FFFF0000"/>
        <rFont val="Calibri"/>
        <family val="2"/>
        <scheme val="minor"/>
      </rPr>
      <t>(AOW-ers)</t>
    </r>
  </si>
  <si>
    <r>
      <t xml:space="preserve">Ink.afh. Combinatiekorting </t>
    </r>
    <r>
      <rPr>
        <b/>
        <u/>
        <sz val="11"/>
        <color rgb="FFFF0000"/>
        <rFont val="Calibri"/>
        <family val="2"/>
        <scheme val="minor"/>
      </rPr>
      <t>(Werkende)</t>
    </r>
  </si>
  <si>
    <t>Kindgebonden budget t.t.v. de relatie</t>
  </si>
  <si>
    <t>Netto Besteedbaar Inkomen (NBI):</t>
  </si>
  <si>
    <t>Na de scheiding:</t>
  </si>
  <si>
    <t>Aantoonbare extra kosten</t>
  </si>
  <si>
    <t>Ten tijde van de relatie ontvangen/betaald:</t>
  </si>
  <si>
    <t>Naam van het kind</t>
  </si>
  <si>
    <t>Leeftijd (nu)</t>
  </si>
  <si>
    <t>Totaal kosten kinderen</t>
  </si>
  <si>
    <t>Aantoon- bare extra kosten</t>
  </si>
  <si>
    <t>Korting</t>
  </si>
  <si>
    <t>Zorgkor- tings %</t>
  </si>
  <si>
    <t>Aant.</t>
  </si>
  <si>
    <t>Gemiddelde basishuur</t>
  </si>
  <si>
    <t>Draagkrachtvergelijking / Verdeling van de kosten</t>
  </si>
  <si>
    <t>VUT / FPU premie</t>
  </si>
  <si>
    <t>Aanv. Ingeh. premie inkomensvoorz.</t>
  </si>
  <si>
    <t>Arbeidsongeschiktheidsverz. WAO/WIA gat</t>
  </si>
  <si>
    <t>Bijdrage werkgever in ziektekosten</t>
  </si>
  <si>
    <t>Eigen woning</t>
  </si>
  <si>
    <t>Inkomensvoorzieningen</t>
  </si>
  <si>
    <t>Heffingen BOX 1</t>
  </si>
  <si>
    <t>(transport)</t>
  </si>
  <si>
    <t>Premies</t>
  </si>
  <si>
    <t>Loon</t>
  </si>
  <si>
    <t>Loon voor de premies werknemersverzekeringen:</t>
  </si>
  <si>
    <t>65b</t>
  </si>
  <si>
    <t>(nr.76 + nr.77)</t>
  </si>
  <si>
    <t>(nr.79 - nr.80)</t>
  </si>
  <si>
    <t>(nr.81 + nr.82) (Post 93 telt NIET mee voor het drempelinkomen !!!)</t>
  </si>
  <si>
    <t>Werkelijke vermogensinkomsten:</t>
  </si>
  <si>
    <t>Besteedbaar inkomen</t>
  </si>
  <si>
    <t>(nr. 82) - (nr.83 t/m 84)</t>
  </si>
  <si>
    <t>Inkomen na aftrek van inkomensheffing:</t>
  </si>
  <si>
    <t>- Bijstandsuitkering</t>
  </si>
  <si>
    <t>Netto uitkering</t>
  </si>
  <si>
    <t>Totaal Netto uitgaven:</t>
  </si>
  <si>
    <t>Standaard heffingskorting:</t>
  </si>
  <si>
    <t>Draagkrachtloos inkomen</t>
  </si>
  <si>
    <t>124a</t>
  </si>
  <si>
    <t>124b</t>
  </si>
  <si>
    <t>124c</t>
  </si>
  <si>
    <t>Bruto uitkering Soc. Verz. Wetten</t>
  </si>
  <si>
    <t>Totaal / jaar</t>
  </si>
  <si>
    <t>Totaal gezamelijke draagkracht:</t>
  </si>
  <si>
    <t>Draag-kracht per kind</t>
  </si>
  <si>
    <t>Zie tabblad Behoeftetabel</t>
  </si>
  <si>
    <t>K.A</t>
  </si>
  <si>
    <t>Z.K.</t>
  </si>
  <si>
    <t>E.A</t>
  </si>
  <si>
    <t>Z.K</t>
  </si>
  <si>
    <t>Draagkrachtloos inkomen:</t>
  </si>
  <si>
    <t>Draagkrachtruimte:</t>
  </si>
  <si>
    <t>Eerder NBI in:</t>
  </si>
  <si>
    <t>Huidig en evt. eerder berekeningsjaar:</t>
  </si>
  <si>
    <t>Eigen aandeel ouders conform NIBUD tabel:</t>
  </si>
  <si>
    <t>Nr.141</t>
  </si>
  <si>
    <t>Beschikbaar voor partneralimentatie per jaar:</t>
  </si>
  <si>
    <t>Totaal bruto maandloon</t>
  </si>
  <si>
    <t>Vakantietoeslag (vul % in)</t>
  </si>
  <si>
    <t>Eindejaarsuitkering (vul % in)</t>
  </si>
  <si>
    <t>Besteedbaar</t>
  </si>
  <si>
    <t>Samenvatting</t>
  </si>
  <si>
    <t>Berekeningsdatum &amp; jaar</t>
  </si>
  <si>
    <t>Alimentatieberekeningsjaar</t>
  </si>
  <si>
    <t>Partijen</t>
  </si>
  <si>
    <t>Kinderen</t>
  </si>
  <si>
    <t>Ingeschreven bij:</t>
  </si>
  <si>
    <t>AG:</t>
  </si>
  <si>
    <t>AP:</t>
  </si>
  <si>
    <t>Wie?</t>
  </si>
  <si>
    <t>Behoefte van de kinderen:</t>
  </si>
  <si>
    <t>Bedrag</t>
  </si>
  <si>
    <t>NBI inkomensgrens minimumdraagkracht</t>
  </si>
  <si>
    <t>Toelichting</t>
  </si>
  <si>
    <t>Afwijkingen t.g.v. negatieve zorgkortingen</t>
  </si>
  <si>
    <t>De berekeningsdatum is vastgezet op:</t>
  </si>
  <si>
    <t>(Structurele) inkomsten uit overwerk</t>
  </si>
  <si>
    <t>Bijtelling auto (t.b.v. verzamelinkomen)</t>
  </si>
  <si>
    <t>Bijtelling volgens salarisstrook</t>
  </si>
  <si>
    <t>Eigen bijdrage</t>
  </si>
  <si>
    <t>Jaarbedrag</t>
  </si>
  <si>
    <t>Bijdrage per:</t>
  </si>
  <si>
    <t>Bijtelling auto van de zaak</t>
  </si>
  <si>
    <t>Vakantietoeslag 8%</t>
  </si>
  <si>
    <t>Uitkering per:</t>
  </si>
  <si>
    <t>Inkomen uit overwerk (hier ook vakantiegeld over per 1-1-2019)</t>
  </si>
  <si>
    <r>
      <t xml:space="preserve">Gebruik de loonstroken van een compleet jaar
</t>
    </r>
    <r>
      <rPr>
        <b/>
        <u/>
        <sz val="11"/>
        <rFont val="Calibri"/>
        <family val="2"/>
        <scheme val="minor"/>
      </rPr>
      <t>LET OP:</t>
    </r>
    <r>
      <rPr>
        <sz val="11"/>
        <rFont val="Calibri"/>
        <family val="2"/>
        <scheme val="minor"/>
      </rPr>
      <t xml:space="preserve"> Inkomsten van werknemers die vakantiebonnen ontvangen moeten bij nr. 45 worden ingevuld, niet hier!</t>
    </r>
  </si>
  <si>
    <t>Datum</t>
  </si>
  <si>
    <t>Verwerkt op</t>
  </si>
  <si>
    <t>To Do's en Wensen</t>
  </si>
  <si>
    <t>Wijzigingen</t>
  </si>
  <si>
    <t>In versie</t>
  </si>
  <si>
    <t>Winst uit onderneming (door te voeren bij Nr.113):</t>
  </si>
  <si>
    <t>Recht op Startersaftrek</t>
  </si>
  <si>
    <t>MKB-winstvrijstelling 14%</t>
  </si>
  <si>
    <t>MKB Winstvrijstellings %</t>
  </si>
  <si>
    <t>Inkomen uit aanmerkelijk belang:</t>
  </si>
  <si>
    <t>104d</t>
  </si>
  <si>
    <t>Drempelbedrag schulden bij rendementsgrondslag</t>
  </si>
  <si>
    <t>Drempel</t>
  </si>
  <si>
    <t>Als belastbaar inkomen - inkomensheffing lager is dan de in 143 berekende alimentatie:</t>
  </si>
  <si>
    <t>Netto alimentatie per jaar:</t>
  </si>
  <si>
    <t>Totale som netto alimentatie en belastingvoordeel BOX I:</t>
  </si>
  <si>
    <t xml:space="preserve">Na aftrek inkomensheffing BOX I: </t>
  </si>
  <si>
    <t>Verschil:</t>
  </si>
  <si>
    <t>Overzicht t.b.v. bepalen van omrekeningsmethode naar Netto alimentatie</t>
  </si>
  <si>
    <t>Verschil van 145</t>
  </si>
  <si>
    <t>Na aftrek inkomensheffing BOX III</t>
  </si>
  <si>
    <t>Zelfstandigenaftrek? 1225 uur</t>
  </si>
  <si>
    <t>Speur- en ontwikkelingswerk: S &amp; O aftrek</t>
  </si>
  <si>
    <t>Speur- en ontwikkelingswerk: Extra aftrek</t>
  </si>
  <si>
    <t>Totaal Speur- en ontwikkelingswerk:</t>
  </si>
  <si>
    <t>Ondernemersaftrekposten</t>
  </si>
  <si>
    <t>Meegewerkte uren</t>
  </si>
  <si>
    <t>0 - 525</t>
  </si>
  <si>
    <t>525 - 875</t>
  </si>
  <si>
    <t>875 - 1225</t>
  </si>
  <si>
    <t>1225 - 1750</t>
  </si>
  <si>
    <t>1750  of meer</t>
  </si>
  <si>
    <t>% van de winst</t>
  </si>
  <si>
    <t>Aftrekbaar % van de winst:</t>
  </si>
  <si>
    <t>Drempel studiekosten</t>
  </si>
  <si>
    <t>Verschuldigde inkomensheffing:</t>
  </si>
  <si>
    <t>(nr.113 - nr. 117)</t>
  </si>
  <si>
    <r>
      <rPr>
        <b/>
        <u/>
        <sz val="11"/>
        <rFont val="Calibri"/>
        <family val="2"/>
        <scheme val="minor"/>
      </rPr>
      <t xml:space="preserve">LET OP: </t>
    </r>
    <r>
      <rPr>
        <sz val="11"/>
        <rFont val="Calibri"/>
        <family val="2"/>
        <scheme val="minor"/>
      </rPr>
      <t xml:space="preserve"> Alleen indien van toepassing EN alleen geldig bij berekening tijdens scheiding (dan is er nog sprake van een (belasting)partner)</t>
    </r>
  </si>
  <si>
    <t>(nr.113 - nr.117 + nr.118 + nr.119a - nr.119b - nr. 89 (= alleen bij KA)</t>
  </si>
  <si>
    <t>Denk ook aan ondersteuning studerend kind / Indien aantoonbaar advocaatkosten zijn gemaakt en er geen liquide middelen (te verwachten) zijn is de aanbeveling rekening te houden met een bedrag voor noodzakelijke en redelijke rechtshulpkosten van max. € 1.368,- met een maandlast max. € 114,- gedurende ten hoogste één jaar.</t>
  </si>
  <si>
    <t>Maximale woonlasten (huur/hypotheek, G/W/E &amp; Gemeentelijke &amp; Waterschapslasten):</t>
  </si>
  <si>
    <t>Totale woonlast inclusief fiscaal voordeel:</t>
  </si>
  <si>
    <t xml:space="preserve">Gewenst maximum bedrag woonlast: </t>
  </si>
  <si>
    <t>Netto besteedbaar inkomen excl. fiscale voordelen woonlast</t>
  </si>
  <si>
    <t>Controle op redelijkheid van de woonlast:</t>
  </si>
  <si>
    <t>Verschil woonlast &amp; gewenste max. woonlast:</t>
  </si>
  <si>
    <t>Eventueel als correctie in te vullen bij 123: Korting onredelijke woonlast:</t>
  </si>
  <si>
    <t>Het (inkomens)belastingvoordeel dat verkregen wordt bij post 138 dient hier verrekend te worden.</t>
  </si>
  <si>
    <t>(nr.59/nr.60 + nr.65 + nr.76 + nr.79 + nr.98 + nr.103)</t>
  </si>
  <si>
    <t>Draagkrachttabel tot AOW-leeftijd</t>
  </si>
  <si>
    <t>NBI vanaf</t>
  </si>
  <si>
    <t>Woonlast</t>
  </si>
  <si>
    <t>Berekeningsformule</t>
  </si>
  <si>
    <r>
      <t>Forfait overige eigenaarslasten (</t>
    </r>
    <r>
      <rPr>
        <b/>
        <u/>
        <sz val="11"/>
        <color theme="1"/>
        <rFont val="Calibri"/>
        <family val="2"/>
        <scheme val="minor"/>
      </rPr>
      <t>eigen woning</t>
    </r>
    <r>
      <rPr>
        <sz val="11"/>
        <color theme="1"/>
        <rFont val="Calibri"/>
        <family val="2"/>
        <scheme val="minor"/>
      </rPr>
      <t>)</t>
    </r>
  </si>
  <si>
    <t>NBI inkomensgrens minimumdraagkracht:</t>
  </si>
  <si>
    <t>Draagkrachttabel vanaf AOW-leeftijd</t>
  </si>
  <si>
    <t>Berekeningsdatum vastgezet op</t>
  </si>
  <si>
    <t>Telt vanaf 1-1-2019 mee in vakantiegeldberekening</t>
  </si>
  <si>
    <t>Telt niet mee in de berekening van het vakantiegeld</t>
  </si>
  <si>
    <t>Telt mee in vakantiegeldberekening</t>
  </si>
  <si>
    <t>Is de kale huur maar inclusief de NOODZAKELIJKE servicekosten</t>
  </si>
  <si>
    <t>Invulblad voor de benodigde basisgegevens t.b.v. de alimentatieberekening</t>
  </si>
  <si>
    <t>Betreft via CAO geregelde, collectief ingehouden premie</t>
  </si>
  <si>
    <t>Individuele deelname aan collectieve WAO-gat verzekering</t>
  </si>
  <si>
    <r>
      <t xml:space="preserve">Zie </t>
    </r>
    <r>
      <rPr>
        <sz val="11"/>
        <color theme="8"/>
        <rFont val="Calibri"/>
        <family val="2"/>
        <scheme val="minor"/>
      </rPr>
      <t>https://www.belastingdienst.nl</t>
    </r>
    <r>
      <rPr>
        <sz val="11"/>
        <color theme="1"/>
        <rFont val="Calibri"/>
        <family val="2"/>
        <scheme val="minor"/>
      </rPr>
      <t xml:space="preserve"> voor informatie over deze post</t>
    </r>
  </si>
  <si>
    <r>
      <t>Zie</t>
    </r>
    <r>
      <rPr>
        <sz val="11"/>
        <color theme="8"/>
        <rFont val="Calibri"/>
        <family val="2"/>
        <scheme val="minor"/>
      </rPr>
      <t xml:space="preserve"> https://www.belastingdienst.nl</t>
    </r>
    <r>
      <rPr>
        <sz val="11"/>
        <color theme="1"/>
        <rFont val="Calibri"/>
        <family val="2"/>
        <scheme val="minor"/>
      </rPr>
      <t xml:space="preserve"> voor informatie over deze post</t>
    </r>
  </si>
  <si>
    <t>Leeftijd (o.b.v. ingevulde berekeningsdatum)</t>
  </si>
  <si>
    <t>Bruto AOW uitkering</t>
  </si>
  <si>
    <t>Zie voor de juiste bijstandsbedragen de tabel hierna</t>
  </si>
  <si>
    <t>Zie voor de juiste vakantiegeld bedragen de tabel hierna</t>
  </si>
  <si>
    <t>Is de forfaitaire woonlast zoals genoemd in de draagkrachttabel hieronder.</t>
  </si>
  <si>
    <t>Is van belang voor bepalen van het verzamelinkomen</t>
  </si>
  <si>
    <t>Zie de maandspecificatie van de pensioenuitkering(en)</t>
  </si>
  <si>
    <t>Als het eigen risico dit jaar volledig wordt betaald hier Ja invullen.</t>
  </si>
  <si>
    <t>Bedrag wordt jaarlijks vastgesteld door de overheid</t>
  </si>
  <si>
    <t>Invloed Eigen woning:</t>
  </si>
  <si>
    <r>
      <t xml:space="preserve">Geboren </t>
    </r>
    <r>
      <rPr>
        <b/>
        <sz val="11"/>
        <color rgb="FFFF0000"/>
        <rFont val="Calibri"/>
        <family val="2"/>
        <scheme val="minor"/>
      </rPr>
      <t>op/na</t>
    </r>
    <r>
      <rPr>
        <b/>
        <sz val="11"/>
        <color theme="1"/>
        <rFont val="Calibri"/>
        <family val="2"/>
        <scheme val="minor"/>
      </rPr>
      <t>:</t>
    </r>
  </si>
  <si>
    <t>Partner 2 (AG)</t>
  </si>
  <si>
    <t>Partner 1 (AP)</t>
  </si>
  <si>
    <t>Zie maandspecificatie van de betreffende uitkering(en)</t>
  </si>
  <si>
    <r>
      <t>Zelfstandigenaftrek (</t>
    </r>
    <r>
      <rPr>
        <u/>
        <sz val="11"/>
        <color theme="1"/>
        <rFont val="Calibri"/>
        <family val="2"/>
        <scheme val="minor"/>
      </rPr>
      <t>Op 1-1 AOW-er? Dan 50% !!</t>
    </r>
    <r>
      <rPr>
        <sz val="11"/>
        <color theme="1"/>
        <rFont val="Calibri"/>
        <family val="2"/>
        <scheme val="minor"/>
      </rPr>
      <t>)</t>
    </r>
  </si>
  <si>
    <t xml:space="preserve">Aftrek is als op 1-1 de AOW leeftijd is bereikt nog maar 50% </t>
  </si>
  <si>
    <t>Algemene heffingskorting (AOW-er)</t>
  </si>
  <si>
    <t>Algemene heffingskorting (Werkend)</t>
  </si>
  <si>
    <t xml:space="preserve">    Hebt u langer dan 6 maanden een fiscale partner, maar is uw inkomen lager dan dat van uw fiscale partner? Dan ook recht op de korting.</t>
  </si>
  <si>
    <t>U krijgt de inkomensafhankelijke combinatiekorting als u aan de volgende voorwaarden voldoet:</t>
  </si>
  <si>
    <t>Prio</t>
  </si>
  <si>
    <t>https://www.belastingdienst.nl/rekenhulpen/toeslagen/</t>
  </si>
  <si>
    <t xml:space="preserve">Bereken deze op: </t>
  </si>
  <si>
    <t xml:space="preserve">https://www.belastingdienst.nl/rekenhulpen/toeslagen/ </t>
  </si>
  <si>
    <t xml:space="preserve">Bereken de juiste AOW datum op: </t>
  </si>
  <si>
    <t>Ink.afh. Combinatiekorting (Werkende / AOW-ers)</t>
  </si>
  <si>
    <t>Belaste waarde van de vakantiebonnen</t>
  </si>
  <si>
    <t>Alternatief (= zelf handmatig berekend)</t>
  </si>
  <si>
    <t>Als weekloon n.v.t. is hier het berekende jaarbedrag invullen</t>
  </si>
  <si>
    <t>Zie hiervoor de salarisstrook</t>
  </si>
  <si>
    <t>Zie (maand)specificatie(s) van de uitkeringsinstelling(en)</t>
  </si>
  <si>
    <r>
      <t>Bruto uitkering (</t>
    </r>
    <r>
      <rPr>
        <sz val="11"/>
        <color rgb="FFFF0000"/>
        <rFont val="Calibri"/>
        <family val="2"/>
        <scheme val="minor"/>
      </rPr>
      <t>NIET zijnde Bijstand, deze bij 119a</t>
    </r>
    <r>
      <rPr>
        <sz val="11"/>
        <color theme="1"/>
        <rFont val="Calibri"/>
        <family val="2"/>
        <scheme val="minor"/>
      </rPr>
      <t>)</t>
    </r>
  </si>
  <si>
    <t>Verzamelinkomen geschoond van Eigen Woning:</t>
  </si>
  <si>
    <t>Gegevens van de kinderen</t>
  </si>
  <si>
    <t>Belastbaar inkomen in BOX I:</t>
  </si>
  <si>
    <t>Verdeling bij te weinig draagkracht</t>
  </si>
  <si>
    <t>Premies voor uitkering bij ziekte, ongeval of invaliditeit (niet aftrekbaar)</t>
  </si>
  <si>
    <t>Netto Besteedbaar Inkomen (NBI) per maand:</t>
  </si>
  <si>
    <t>Netto alimentatie (NA) volgens berekening Methode Buijs per maand :</t>
  </si>
  <si>
    <t>Netto alimentatie (NA) volgens berekening Methode Buijs per jaar :</t>
  </si>
  <si>
    <t>Is o.b.v. berekeningsdatum de AOW-leeftijd bereikt?</t>
  </si>
  <si>
    <t>Tijdvak:</t>
  </si>
  <si>
    <t>Inkomsten BOX I (excl. Alimentatie)</t>
  </si>
  <si>
    <t>Feitenlijke inkomsten BOX II en BOX III</t>
  </si>
  <si>
    <t>Onbelast inkomen</t>
  </si>
  <si>
    <t>Te ontvangen alimentatie</t>
  </si>
  <si>
    <t>Eigen aandeel</t>
  </si>
  <si>
    <t>De tabellen voor de KA kennen een schaal vanaf € 1000 tot en met € 6000, deze wordt normaal aangehouden</t>
  </si>
  <si>
    <t>Belastbaar per jaar</t>
  </si>
  <si>
    <t>Heffingskortingen</t>
  </si>
  <si>
    <t>Per jaar</t>
  </si>
  <si>
    <t>Alimentatiegerechtigde:</t>
  </si>
  <si>
    <t>Alimentatieplichtige:</t>
  </si>
  <si>
    <t>Beschikbaar voor AP/AG:</t>
  </si>
  <si>
    <t>Behoeftebepaling volgens de Hofnorm</t>
  </si>
  <si>
    <t>BOX I inkomen</t>
  </si>
  <si>
    <t>Totaal inkomen in BOX I, II en II:</t>
  </si>
  <si>
    <t>Totaal aan belastingen:</t>
  </si>
  <si>
    <t>Totaal heffingskortingen:</t>
  </si>
  <si>
    <t>Blijft aan netto behoefte over:</t>
  </si>
  <si>
    <t>Netto behoefte bedrag</t>
  </si>
  <si>
    <t>Bruto behoefte bedrag</t>
  </si>
  <si>
    <t>Bruto behoefte</t>
  </si>
  <si>
    <t>Netto behoefte PA --&gt; Bruto PA</t>
  </si>
  <si>
    <t>Netto behoefte bedrag / jaar</t>
  </si>
  <si>
    <t>Bruto behoefte bedrag / jaar</t>
  </si>
  <si>
    <t>Netto behoefte:</t>
  </si>
  <si>
    <t>Totaal Belastbaar inkomen uit woning &amp; werk (BOX I):</t>
  </si>
  <si>
    <t>Omgerekend naar Bruto (zie Tabblad Basisgegevens):</t>
  </si>
  <si>
    <t xml:space="preserve">Netto inkomsten </t>
  </si>
  <si>
    <t>Netto inkomen t.b.v. eigen behoefte:</t>
  </si>
  <si>
    <t>Benodigd netto inkomen:</t>
  </si>
  <si>
    <t>Alimentatie volgens Bruto behoefte:</t>
  </si>
  <si>
    <t>Alimentatie behoefte volgens Bruto behoefte:</t>
  </si>
  <si>
    <t>Per Jaar</t>
  </si>
  <si>
    <t>Maximale alimentatie volgens DRAAGKRACHT:</t>
  </si>
  <si>
    <t>Maximale alimentatie volgens BEHOEFTE:</t>
  </si>
  <si>
    <t>Maximale alimentatie volgens JUSVERGELIJKING:</t>
  </si>
  <si>
    <t>Besteedbaar inkomen na aftrek draagkrachtloos inkomen:</t>
  </si>
  <si>
    <t>Belasting t.b.v. JUS-vergelijking</t>
  </si>
  <si>
    <t>https://www.zorgwijzer.nl/faq/wat-is-de-inkomensafhankelijke-bijdrage</t>
  </si>
  <si>
    <t>JUS-Vergelijking</t>
  </si>
  <si>
    <t>Herberekende heffingskortingen</t>
  </si>
  <si>
    <t>Behoeftebepaling</t>
  </si>
  <si>
    <t>JUS-alimentatie:</t>
  </si>
  <si>
    <t>Heffingskortingen:</t>
  </si>
  <si>
    <t>Totaal Heffingskortingen:</t>
  </si>
  <si>
    <t>- andere kortingen (Jonggehandicapten, Levensloop, Groene beleggingen)</t>
  </si>
  <si>
    <t>Totaal inkomstenbelastingen (Box I, II en II)</t>
  </si>
  <si>
    <t>Besteedbaar inkomen per jaar</t>
  </si>
  <si>
    <t>137a</t>
  </si>
  <si>
    <t>141b</t>
  </si>
  <si>
    <t>141a</t>
  </si>
  <si>
    <t>141c</t>
  </si>
  <si>
    <t>Totaal aan inkomsten:</t>
  </si>
  <si>
    <t>Inkomsten</t>
  </si>
  <si>
    <t>Inhoudingen / Verplichtingen</t>
  </si>
  <si>
    <t>Verschil in Jus</t>
  </si>
  <si>
    <t>Verschil is</t>
  </si>
  <si>
    <t>a</t>
  </si>
  <si>
    <t>b</t>
  </si>
  <si>
    <t>c</t>
  </si>
  <si>
    <t>d</t>
  </si>
  <si>
    <t>e</t>
  </si>
  <si>
    <t>f</t>
  </si>
  <si>
    <t>g</t>
  </si>
  <si>
    <t>i</t>
  </si>
  <si>
    <t>j</t>
  </si>
  <si>
    <t>k</t>
  </si>
  <si>
    <t>l</t>
  </si>
  <si>
    <t>Gebruiksaanwijzing</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</si>
  <si>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Deze velden komen voor in de tabbladen: "</t>
    </r>
    <r>
      <rPr>
        <i/>
        <u/>
        <sz val="11"/>
        <color theme="1"/>
        <rFont val="Calibri"/>
        <family val="2"/>
        <scheme val="minor"/>
      </rPr>
      <t>Basisgegevens</t>
    </r>
    <r>
      <rPr>
        <sz val="11"/>
        <color theme="1"/>
        <rFont val="Calibri"/>
        <family val="2"/>
        <scheme val="minor"/>
      </rPr>
      <t>", "</t>
    </r>
    <r>
      <rPr>
        <i/>
        <u/>
        <sz val="11"/>
        <color theme="1"/>
        <rFont val="Calibri"/>
        <family val="2"/>
        <scheme val="minor"/>
      </rPr>
      <t>Alimentatie 20xx-x</t>
    </r>
    <r>
      <rPr>
        <i/>
        <sz val="11"/>
        <color theme="1"/>
        <rFont val="Calibri"/>
        <family val="2"/>
        <scheme val="minor"/>
      </rPr>
      <t>"</t>
    </r>
    <r>
      <rPr>
        <sz val="11"/>
        <color theme="1"/>
        <rFont val="Calibri"/>
        <family val="2"/>
        <scheme val="minor"/>
      </rPr>
      <t xml:space="preserve"> en "</t>
    </r>
    <r>
      <rPr>
        <i/>
        <u/>
        <sz val="11"/>
        <color theme="1"/>
        <rFont val="Calibri"/>
        <family val="2"/>
        <scheme val="minor"/>
      </rPr>
      <t>Jusvergelijking</t>
    </r>
    <r>
      <rPr>
        <sz val="11"/>
        <color theme="1"/>
        <rFont val="Calibri"/>
        <family val="2"/>
        <scheme val="minor"/>
      </rPr>
      <t xml:space="preserve">".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</si>
  <si>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r>
      <t xml:space="preserve">Als een veld </t>
    </r>
    <r>
      <rPr>
        <b/>
        <u/>
        <sz val="11"/>
        <color rgb="FFFF0000"/>
        <rFont val="Calibri"/>
        <family val="2"/>
        <scheme val="minor"/>
      </rPr>
      <t>ROOD</t>
    </r>
    <r>
      <rPr>
        <sz val="11"/>
        <rFont val="Calibri"/>
        <family val="2"/>
        <scheme val="minor"/>
      </rPr>
      <t xml:space="preserve"> kleurt, deze dan controleren (wel pas nadat alle gegevens zijn ingevuld). </t>
    </r>
    <r>
      <rPr>
        <b/>
        <sz val="11"/>
        <color rgb="FFFF0000"/>
        <rFont val="Calibri"/>
        <family val="2"/>
        <scheme val="minor"/>
      </rPr>
      <t>Rood</t>
    </r>
    <r>
      <rPr>
        <sz val="11"/>
        <rFont val="Calibri"/>
        <family val="2"/>
        <scheme val="minor"/>
      </rPr>
      <t xml:space="preserve"> is een signaal dat er iets is wat niet klopt! 
Bijv. als bij Bijstand "</t>
    </r>
    <r>
      <rPr>
        <i/>
        <sz val="11"/>
        <rFont val="Calibri"/>
        <family val="2"/>
        <scheme val="minor"/>
      </rPr>
      <t>Ja</t>
    </r>
    <r>
      <rPr>
        <sz val="11"/>
        <rFont val="Calibri"/>
        <family val="2"/>
        <scheme val="minor"/>
      </rPr>
      <t xml:space="preserve">" wordt ingevuld en er geen bedragen in de betreffende inkomstentabel zijn ingevuld zal deze </t>
    </r>
    <r>
      <rPr>
        <b/>
        <u/>
        <sz val="11"/>
        <color rgb="FFFF0000"/>
        <rFont val="Calibri"/>
        <family val="2"/>
        <scheme val="minor"/>
      </rPr>
      <t>ROOD</t>
    </r>
    <r>
      <rPr>
        <sz val="11"/>
        <rFont val="Calibri"/>
        <family val="2"/>
        <scheme val="minor"/>
      </rPr>
      <t xml:space="preserve"> kleuren</t>
    </r>
    <r>
      <rPr>
        <sz val="11"/>
        <color theme="1"/>
        <rFont val="Calibri"/>
        <family val="2"/>
        <scheme val="minor"/>
      </rPr>
      <t>.</t>
    </r>
  </si>
  <si>
    <t>Uitleg over de kleuren &amp; aandachtspunten hierbij</t>
  </si>
  <si>
    <t>Kleur</t>
  </si>
  <si>
    <t>LEGENDA:</t>
  </si>
  <si>
    <t xml:space="preserve">Als eerste uitleg over de gebruikte kleuren in deze Alimentatie berekeningssheet. </t>
  </si>
  <si>
    <r>
      <t xml:space="preserve">Als een veld </t>
    </r>
    <r>
      <rPr>
        <b/>
        <u/>
        <sz val="11"/>
        <color rgb="FFFFC000"/>
        <rFont val="Calibri"/>
        <family val="2"/>
        <scheme val="minor"/>
      </rPr>
      <t>ORANJE</t>
    </r>
    <r>
      <rPr>
        <sz val="11"/>
        <color theme="1"/>
        <rFont val="Calibri"/>
        <family val="2"/>
        <scheme val="minor"/>
      </rPr>
      <t xml:space="preserve"> kleurt is dat primair een </t>
    </r>
    <r>
      <rPr>
        <b/>
        <u/>
        <sz val="11"/>
        <color theme="1"/>
        <rFont val="Calibri"/>
        <family val="2"/>
        <scheme val="minor"/>
      </rPr>
      <t>ATTENTIE</t>
    </r>
    <r>
      <rPr>
        <sz val="11"/>
        <color theme="1"/>
        <rFont val="Calibri"/>
        <family val="2"/>
        <scheme val="minor"/>
      </rPr>
      <t xml:space="preserve"> signaal. Kijk extra naar de inhoud van het veld of alles klopt. De inhoud kan gewoon correct of </t>
    </r>
    <r>
      <rPr>
        <b/>
        <u/>
        <sz val="11"/>
        <color theme="1"/>
        <rFont val="Calibri"/>
        <family val="2"/>
        <scheme val="minor"/>
      </rPr>
      <t>aangepast</t>
    </r>
    <r>
      <rPr>
        <sz val="11"/>
        <color theme="1"/>
        <rFont val="Calibri"/>
        <family val="2"/>
        <scheme val="minor"/>
      </rPr>
      <t xml:space="preserve"> zijn. Bijv. als de draagkracht onder de </t>
    </r>
    <r>
      <rPr>
        <sz val="11"/>
        <color theme="1"/>
        <rFont val="Calibri"/>
        <family val="2"/>
      </rPr>
      <t>€</t>
    </r>
    <r>
      <rPr>
        <sz val="11"/>
        <color theme="1"/>
        <rFont val="Calibri"/>
        <family val="2"/>
        <scheme val="minor"/>
      </rPr>
      <t xml:space="preserve"> 0 grens komt zal i.p.v. het </t>
    </r>
    <r>
      <rPr>
        <u/>
        <sz val="11"/>
        <color theme="1"/>
        <rFont val="Calibri"/>
        <family val="2"/>
        <scheme val="minor"/>
      </rPr>
      <t>minbedrag</t>
    </r>
    <r>
      <rPr>
        <sz val="11"/>
        <color theme="1"/>
        <rFont val="Calibri"/>
        <family val="2"/>
        <scheme val="minor"/>
      </rPr>
      <t xml:space="preserve"> € 0 worden ingevuld met de </t>
    </r>
    <r>
      <rPr>
        <b/>
        <u/>
        <sz val="11"/>
        <color rgb="FFFFC000"/>
        <rFont val="Calibri"/>
        <family val="2"/>
        <scheme val="minor"/>
      </rPr>
      <t>ORANJE</t>
    </r>
    <r>
      <rPr>
        <sz val="11"/>
        <color theme="1"/>
        <rFont val="Calibri"/>
        <family val="2"/>
        <scheme val="minor"/>
      </rPr>
      <t xml:space="preserve"> markering.</t>
    </r>
  </si>
  <si>
    <r>
      <t xml:space="preserve">De </t>
    </r>
    <r>
      <rPr>
        <b/>
        <u/>
        <sz val="11"/>
        <color theme="0" tint="-0.249977111117893"/>
        <rFont val="Calibri"/>
        <family val="2"/>
        <scheme val="minor"/>
      </rPr>
      <t>GRIJZE</t>
    </r>
    <r>
      <rPr>
        <sz val="11"/>
        <color theme="1"/>
        <rFont val="Calibri"/>
        <family val="2"/>
        <scheme val="minor"/>
      </rPr>
      <t xml:space="preserve"> velden bevatten (net als de groene) velden de formules t.b.v. het maken van de juiste berekeningen.
</t>
    </r>
    <r>
      <rPr>
        <sz val="11"/>
        <color theme="1"/>
        <rFont val="Calibri"/>
        <family val="2"/>
        <scheme val="minor"/>
      </rPr>
      <t>Deze cellen zijn geblokkeerd om te voorkomen dat de formules per ongeluk verminkt/gewist worden</t>
    </r>
  </si>
  <si>
    <r>
      <t xml:space="preserve">De </t>
    </r>
    <r>
      <rPr>
        <b/>
        <u/>
        <sz val="11"/>
        <color rgb="FF92D050"/>
        <rFont val="Calibri"/>
        <family val="2"/>
        <scheme val="minor"/>
      </rPr>
      <t>GROENE</t>
    </r>
    <r>
      <rPr>
        <sz val="11"/>
        <color theme="1"/>
        <rFont val="Calibri"/>
        <family val="2"/>
        <scheme val="minor"/>
      </rPr>
      <t xml:space="preserve"> velden bevatten de berekende (eind)totalen,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</si>
  <si>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theme="5" tint="0.59999389629810485"/>
        <rFont val="Calibri"/>
        <family val="2"/>
        <scheme val="minor"/>
      </rPr>
      <t>ROZE</t>
    </r>
    <r>
      <rPr>
        <sz val="11"/>
        <color theme="1"/>
        <rFont val="Calibri"/>
        <family val="2"/>
        <scheme val="minor"/>
      </rPr>
      <t xml:space="preserve"> velden bevatten berekende subtotalen,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</si>
  <si>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rgb="FFFFFF00"/>
        <rFont val="Calibri"/>
        <family val="2"/>
        <scheme val="minor"/>
      </rPr>
      <t>GELE</t>
    </r>
    <r>
      <rPr>
        <sz val="11"/>
        <color theme="1"/>
        <rFont val="Calibri"/>
        <family val="2"/>
        <scheme val="minor"/>
      </rPr>
      <t xml:space="preserve"> velden markeren de beginregels/kopregels bovenaan de tabellen, de secties etc.</t>
    </r>
  </si>
  <si>
    <t>Hoe te starten ?</t>
  </si>
  <si>
    <t>De link staat achter de betreffende regel !!!</t>
  </si>
  <si>
    <r>
      <t xml:space="preserve">Start als 1e in het tabblad "Basisgegevens", die is de primaire bron voor alle berekeningen, vul de van toepassing zijn de </t>
    </r>
    <r>
      <rPr>
        <b/>
        <u/>
        <sz val="11"/>
        <color rgb="FF00B0F0"/>
        <rFont val="Calibri"/>
        <family val="2"/>
        <scheme val="minor"/>
      </rPr>
      <t>LICHT BLAUWE</t>
    </r>
    <r>
      <rPr>
        <sz val="11"/>
        <color theme="1"/>
        <rFont val="Calibri"/>
        <family val="2"/>
        <scheme val="minor"/>
      </rPr>
      <t xml:space="preserve"> velden in.</t>
    </r>
  </si>
  <si>
    <r>
      <t xml:space="preserve">Werk nu  in het blok </t>
    </r>
    <r>
      <rPr>
        <b/>
        <u/>
        <sz val="11"/>
        <color theme="1"/>
        <rFont val="Calibri"/>
        <family val="2"/>
        <scheme val="minor"/>
      </rPr>
      <t>kolom A t/m K</t>
    </r>
    <r>
      <rPr>
        <sz val="11"/>
        <color theme="1"/>
        <rFont val="Calibri"/>
        <family val="2"/>
        <scheme val="minor"/>
      </rPr>
      <t xml:space="preserve"> van boven naar beneden de van toepassing zijnde (inkomens)gegevens in:</t>
    </r>
  </si>
  <si>
    <r>
      <t xml:space="preserve">Werk nu  in het blok </t>
    </r>
    <r>
      <rPr>
        <b/>
        <u/>
        <sz val="11"/>
        <color theme="1"/>
        <rFont val="Calibri"/>
        <family val="2"/>
        <scheme val="minor"/>
      </rPr>
      <t>kolom L t/m Z</t>
    </r>
    <r>
      <rPr>
        <sz val="11"/>
        <color theme="1"/>
        <rFont val="Calibri"/>
        <family val="2"/>
        <scheme val="minor"/>
      </rPr>
      <t xml:space="preserve"> van boven naar beneden de van toepassing zijnde </t>
    </r>
    <r>
      <rPr>
        <b/>
        <u/>
        <sz val="11"/>
        <color theme="1"/>
        <rFont val="Calibri"/>
        <family val="2"/>
        <scheme val="minor"/>
      </rPr>
      <t>antwoorden</t>
    </r>
    <r>
      <rPr>
        <sz val="11"/>
        <color theme="1"/>
        <rFont val="Calibri"/>
        <family val="2"/>
        <scheme val="minor"/>
      </rPr>
      <t xml:space="preserve"> in bij de:</t>
    </r>
  </si>
  <si>
    <t>Tabblad "Alimentatie 20xx-x"</t>
  </si>
  <si>
    <t>1a</t>
  </si>
  <si>
    <t>1b</t>
  </si>
  <si>
    <t>Lees de toelichtingen, opmerkingen en/of aanwijzingen in de kolom "" zorgvuldig.</t>
  </si>
  <si>
    <t>Werk de volgende 3 stappen af:</t>
  </si>
  <si>
    <t>Tabblad "Jusvergelijking"</t>
  </si>
  <si>
    <r>
      <t>- In het tabblad "</t>
    </r>
    <r>
      <rPr>
        <i/>
        <sz val="11"/>
        <color theme="1"/>
        <rFont val="Calibri"/>
        <family val="2"/>
        <scheme val="minor"/>
      </rPr>
      <t>Samenvatting</t>
    </r>
    <r>
      <rPr>
        <sz val="11"/>
        <color theme="1"/>
        <rFont val="Calibri"/>
        <family val="2"/>
        <scheme val="minor"/>
      </rPr>
      <t xml:space="preserve">" staan de kerngetallen uit de berekening samengevat, samen met de </t>
    </r>
    <r>
      <rPr>
        <b/>
        <u/>
        <sz val="11"/>
        <color theme="1"/>
        <rFont val="Calibri"/>
        <family val="2"/>
        <scheme val="minor"/>
      </rPr>
      <t>(kinder)alimentatie</t>
    </r>
    <r>
      <rPr>
        <sz val="11"/>
        <color theme="1"/>
        <rFont val="Calibri"/>
        <family val="2"/>
        <scheme val="minor"/>
      </rPr>
      <t xml:space="preserve"> bedragen</t>
    </r>
  </si>
  <si>
    <t>De overige tabbladen &amp; hun functie</t>
  </si>
  <si>
    <t>Tenslotte:</t>
  </si>
  <si>
    <r>
      <t xml:space="preserve">Bij vragen, wensen of onverhoopte fouten: Mail deze dan samen met je berekening en een eventuele schermafdruk naar: </t>
    </r>
    <r>
      <rPr>
        <u/>
        <sz val="11"/>
        <color theme="1"/>
        <rFont val="Calibri"/>
        <family val="2"/>
        <scheme val="minor"/>
      </rPr>
      <t>info@levennascheiding.nl</t>
    </r>
    <r>
      <rPr>
        <sz val="11"/>
        <color theme="1"/>
        <rFont val="Calibri"/>
        <family val="2"/>
        <scheme val="minor"/>
      </rPr>
      <t xml:space="preserve">. Waar mogelijk en passend ga ik hier dan mee aan de slag! </t>
    </r>
  </si>
  <si>
    <t>Advies</t>
  </si>
  <si>
    <t>ALERT</t>
  </si>
  <si>
    <t>Vragen?</t>
  </si>
  <si>
    <t>Noot:</t>
  </si>
  <si>
    <r>
      <t xml:space="preserve">- Vul eerst de persoonlijke gegevens in in het blok (A3-J20) en bereken tegelijk ook de </t>
    </r>
    <r>
      <rPr>
        <b/>
        <u/>
        <sz val="11"/>
        <color theme="1"/>
        <rFont val="Calibri"/>
        <family val="2"/>
        <scheme val="minor"/>
      </rPr>
      <t>pensioendata</t>
    </r>
    <r>
      <rPr>
        <sz val="11"/>
        <color theme="1"/>
        <rFont val="Calibri"/>
        <family val="2"/>
        <scheme val="minor"/>
      </rPr>
      <t xml:space="preserve"> via de link naar de svb.nl.
- Let ook op het invullen/vastzetten van berekeningsdatum (cel C15)
- Als het om een HERBEREKENING gaat moet je het </t>
    </r>
    <r>
      <rPr>
        <b/>
        <sz val="11"/>
        <color theme="1"/>
        <rFont val="Calibri"/>
        <family val="2"/>
        <scheme val="minor"/>
      </rPr>
      <t>NBI uit het jaar</t>
    </r>
    <r>
      <rPr>
        <sz val="11"/>
        <color theme="1"/>
        <rFont val="Calibri"/>
        <family val="2"/>
        <scheme val="minor"/>
      </rPr>
      <t xml:space="preserve"> van scheiding (cel C20) en het </t>
    </r>
    <r>
      <rPr>
        <b/>
        <sz val="11"/>
        <color theme="1"/>
        <rFont val="Calibri"/>
        <family val="2"/>
        <scheme val="minor"/>
      </rPr>
      <t>scheidingsjaar (cel C19)</t>
    </r>
    <r>
      <rPr>
        <sz val="11"/>
        <color theme="1"/>
        <rFont val="Calibri"/>
        <family val="2"/>
        <scheme val="minor"/>
      </rPr>
      <t xml:space="preserve"> ook invullen. Dit is van belang voor de kinderalimentatie berekening!</t>
    </r>
  </si>
  <si>
    <r>
      <t xml:space="preserve">Lees de toelichtingen, opmerkingen en/of aanwijzingen in de </t>
    </r>
    <r>
      <rPr>
        <b/>
        <u/>
        <sz val="11"/>
        <color theme="1"/>
        <rFont val="Calibri"/>
        <family val="2"/>
        <scheme val="minor"/>
      </rPr>
      <t>kolom "I"</t>
    </r>
    <r>
      <rPr>
        <sz val="11"/>
        <color theme="1"/>
        <rFont val="Calibri"/>
        <family val="2"/>
        <scheme val="minor"/>
      </rPr>
      <t xml:space="preserve"> zorgvuldig.</t>
    </r>
  </si>
  <si>
    <t>Ink.afhankelijke bijdrage premie ZVW (niet AOW)</t>
  </si>
  <si>
    <r>
      <t xml:space="preserve">In het jaar van aangifte een </t>
    </r>
    <r>
      <rPr>
        <b/>
        <u/>
        <sz val="10"/>
        <color rgb="FF000000"/>
        <rFont val="Verdana"/>
        <family val="2"/>
      </rPr>
      <t>AOW-uitkering voor een alleenstaande</t>
    </r>
    <r>
      <rPr>
        <sz val="10"/>
        <color rgb="FF000000"/>
        <rFont val="Verdana"/>
        <family val="2"/>
      </rPr>
      <t xml:space="preserve"> krijgt of daar recht op hebt</t>
    </r>
  </si>
  <si>
    <r>
      <t>- In het tabblad "</t>
    </r>
    <r>
      <rPr>
        <i/>
        <sz val="11"/>
        <color theme="1"/>
        <rFont val="Calibri"/>
        <family val="2"/>
        <scheme val="minor"/>
      </rPr>
      <t>Behoefteberekening</t>
    </r>
    <r>
      <rPr>
        <sz val="11"/>
        <color theme="1"/>
        <rFont val="Calibri"/>
        <family val="2"/>
        <scheme val="minor"/>
      </rPr>
      <t xml:space="preserve">" staan de details van de alimentatieberekening op basis van de </t>
    </r>
    <r>
      <rPr>
        <b/>
        <u/>
        <sz val="11"/>
        <color theme="1"/>
        <rFont val="Calibri"/>
        <family val="2"/>
        <scheme val="minor"/>
      </rPr>
      <t>behoefte</t>
    </r>
    <r>
      <rPr>
        <sz val="11"/>
        <color theme="1"/>
        <rFont val="Calibri"/>
        <family val="2"/>
        <scheme val="minor"/>
      </rPr>
      <t>.</t>
    </r>
  </si>
  <si>
    <t>Draagkrachtpercentage</t>
  </si>
  <si>
    <t>Draagkracht %</t>
  </si>
  <si>
    <t>Vakantiegeld telt mee in jaarloon voor post 48?</t>
  </si>
  <si>
    <t>Inkomenstoeslag / Bonus</t>
  </si>
  <si>
    <t>Disclaimer</t>
  </si>
  <si>
    <t>Tot</t>
  </si>
  <si>
    <t>Berekeningstijdvak</t>
  </si>
  <si>
    <t>Zie ook: Aantal kids in tabblad "Kinderalimentatie"</t>
  </si>
  <si>
    <t>Deze wordt bepaald o.b.v. berekeningstijdvak (C21), wordt gebruikt in de diverse tabellen om de juiste tabel te kiezen</t>
  </si>
  <si>
    <t>Lening</t>
  </si>
  <si>
    <t>Eventuele ziektekosten (extra en/of premie aanvullende verzekering) voor het kind / de kinderen moeten bij het bedrag van tabel 2 worden opgeteld.</t>
  </si>
  <si>
    <t>NBI tot</t>
  </si>
  <si>
    <t>Percentage draagkrachtruimte (uitgangspunt: Alleenwonend)</t>
  </si>
  <si>
    <t>(nr. 59/60) - (nr.61 t/m 63)</t>
  </si>
  <si>
    <t>Voordeel i.v.m. betaalde alimentatie (eerdere) ex-partner / Hypotheekrente</t>
  </si>
  <si>
    <t>Onderdeel: RENTE</t>
  </si>
  <si>
    <t>Onderdeel: AFLOSSING</t>
  </si>
  <si>
    <t>Inkomen voor aftrek inkomensheffing</t>
  </si>
  <si>
    <t>Kinderalimentatie per maand:</t>
  </si>
  <si>
    <t>Verzamelinkomen tbv berekenen Huurtoeslag:</t>
  </si>
  <si>
    <t>Verzamelinkomen tbv berekenen Zorgtoeslag:</t>
  </si>
  <si>
    <r>
      <t xml:space="preserve">Kindgebonden budget </t>
    </r>
    <r>
      <rPr>
        <b/>
        <u/>
        <sz val="12"/>
        <color rgb="FFFF0000"/>
        <rFont val="Calibri"/>
        <family val="2"/>
        <scheme val="minor"/>
      </rPr>
      <t>(ontvangen ten tijde van de relatie)</t>
    </r>
  </si>
  <si>
    <r>
      <t xml:space="preserve">Kindgebonden budget </t>
    </r>
    <r>
      <rPr>
        <b/>
        <u/>
        <sz val="12"/>
        <color rgb="FFFF0000"/>
        <rFont val="Calibri"/>
        <family val="2"/>
        <scheme val="minor"/>
      </rPr>
      <t>(te ontvangen na de scheiding)</t>
    </r>
  </si>
  <si>
    <r>
      <rPr>
        <b/>
        <u/>
        <sz val="11"/>
        <rFont val="Calibri"/>
        <family val="2"/>
        <scheme val="minor"/>
      </rPr>
      <t xml:space="preserve">Berekenen? Zie: </t>
    </r>
    <r>
      <rPr>
        <b/>
        <u/>
        <sz val="11"/>
        <color theme="10"/>
        <rFont val="Calibri"/>
        <family val="2"/>
        <scheme val="minor"/>
      </rPr>
      <t>https://www.belastingdienst.nl/rekenhulpen/toeslagen/</t>
    </r>
  </si>
  <si>
    <t>maand</t>
  </si>
  <si>
    <t>Berekende NBI tb.v.Draagkrachttabel is:</t>
  </si>
  <si>
    <t>- Inkomensafh. bijdrage ZVW over partneralimentatie</t>
  </si>
  <si>
    <t>Verschuldigde partneralimentatie:</t>
  </si>
  <si>
    <t xml:space="preserve">Aan ex. partner te betalen Partner-/Kinderalimentatie: </t>
  </si>
  <si>
    <t>Verschuldigde kinderalimentatie:</t>
  </si>
  <si>
    <t>Recht op AOW in:</t>
  </si>
  <si>
    <t>Berekeningsjaar:</t>
  </si>
  <si>
    <r>
      <t>Startersaftrek (</t>
    </r>
    <r>
      <rPr>
        <u/>
        <sz val="11"/>
        <color theme="1"/>
        <rFont val="Calibri"/>
        <family val="2"/>
        <scheme val="minor"/>
      </rPr>
      <t>Op 1-1 AOW-er? Dan 50% !!</t>
    </r>
    <r>
      <rPr>
        <sz val="11"/>
        <color theme="1"/>
        <rFont val="Calibri"/>
        <family val="2"/>
        <scheme val="minor"/>
      </rPr>
      <t>)</t>
    </r>
  </si>
  <si>
    <t>Namen thuiswonende/studerende kinderen</t>
  </si>
  <si>
    <t>(Kleine) Netto inkomsten</t>
  </si>
  <si>
    <t>gehuwden, beide echtgenoten jonger dan de pensioengerechtigde leeftijd en geen inwonende andere volwassenen</t>
  </si>
  <si>
    <t>een alleenstaande ouder en geen inwonende andere volwassenen</t>
  </si>
  <si>
    <t>een alleenstaande en geen inwonende andere volwassenen</t>
  </si>
  <si>
    <t>gehuwden, beide echtgenoten met pensioengerechtigde leeftijd en geen inwonende andere volwassenen</t>
  </si>
  <si>
    <t>gehuwden, een echtgenoot met de pensioengerechtigde leeftijd en de andere echtgenoot 21 jaar of ouder, maar nog niet pensioengerechtigd en geen inwonende andere volwassenen</t>
  </si>
  <si>
    <t>Alimentatieberekening</t>
  </si>
  <si>
    <t>Totaal inkomsten uit dienstbetrekking</t>
  </si>
  <si>
    <t>Bruto jaarloon uit dienstbetrekking 1</t>
  </si>
  <si>
    <t>Bruto jaarloon uit dienstbetrekking 2</t>
  </si>
  <si>
    <t>Totaal:</t>
  </si>
  <si>
    <t>Totaal bruto jaarloon uit dienstbetrekking</t>
  </si>
  <si>
    <t>Totaal 1e en 2e dienstbetrekking</t>
  </si>
  <si>
    <t>Advies: Gebruik post 41 t/m 58</t>
  </si>
  <si>
    <t>Week</t>
  </si>
  <si>
    <t>13e maand / 14e periodiek / Jaarbonus</t>
  </si>
  <si>
    <t>Loon volgens jaaropgave werkgever(s)</t>
  </si>
  <si>
    <t>Inkomsten uit arbeid van Werkgever 1:</t>
  </si>
  <si>
    <t>Inkomsten uit arbeid van Werkgever 2:</t>
  </si>
  <si>
    <t>Fiscale bruto jaarinkomen werkgever 1</t>
  </si>
  <si>
    <t>Werkgever 1: Bruto arbeidsinkomen bouw inclusief belast deel waarde vakantiebonnen</t>
  </si>
  <si>
    <r>
      <t xml:space="preserve">Bruto weekinkomen </t>
    </r>
    <r>
      <rPr>
        <sz val="11"/>
        <color rgb="FFFF0000"/>
        <rFont val="Calibri"/>
        <family val="2"/>
        <scheme val="minor"/>
      </rPr>
      <t>werkgever 1</t>
    </r>
  </si>
  <si>
    <t>1.0</t>
  </si>
  <si>
    <r>
      <t xml:space="preserve">Vergeet niet om voor de juiste periode (maand / 4-weken c.q. Week) te kiezen bij de inkomenstabellen!
</t>
    </r>
    <r>
      <rPr>
        <sz val="14"/>
        <color theme="1"/>
        <rFont val="Calibri"/>
        <family val="2"/>
        <scheme val="minor"/>
      </rPr>
      <t>Berekenen van eventuele toeslagen (zorg-, huurtoeslag etc.) kan via de link bij het betreffende onderdeel.</t>
    </r>
  </si>
  <si>
    <r>
      <t>- In het tabblad "</t>
    </r>
    <r>
      <rPr>
        <i/>
        <sz val="11"/>
        <color theme="1"/>
        <rFont val="Calibri"/>
        <family val="2"/>
        <scheme val="minor"/>
      </rPr>
      <t>Jusvergelijking</t>
    </r>
    <r>
      <rPr>
        <sz val="11"/>
        <color theme="1"/>
        <rFont val="Calibri"/>
        <family val="2"/>
        <scheme val="minor"/>
      </rPr>
      <t xml:space="preserve">" staan de details van de alimentatieberekening op basis van de </t>
    </r>
    <r>
      <rPr>
        <b/>
        <u/>
        <sz val="11"/>
        <color theme="1"/>
        <rFont val="Calibri"/>
        <family val="2"/>
        <scheme val="minor"/>
      </rPr>
      <t>zogenaamde Jusvergelijking</t>
    </r>
    <r>
      <rPr>
        <sz val="11"/>
        <color theme="1"/>
        <rFont val="Calibri"/>
        <family val="2"/>
        <scheme val="minor"/>
      </rPr>
      <t>.</t>
    </r>
  </si>
  <si>
    <t>https://www.svb.nl/nl/aow/aow-leeftijd/uw-aow-leeftijd</t>
  </si>
  <si>
    <t>Behoeftetabel</t>
  </si>
  <si>
    <t>MBO Uitwonend</t>
  </si>
  <si>
    <t>Behoeftebasis</t>
  </si>
  <si>
    <t>Behoeftestatus</t>
  </si>
  <si>
    <t>Zelfvoorzienend</t>
  </si>
  <si>
    <t>Basisbeurs</t>
  </si>
  <si>
    <t>Aanvullende beurs</t>
  </si>
  <si>
    <t>Thuiswonend</t>
  </si>
  <si>
    <t>Uitwonend</t>
  </si>
  <si>
    <t>Collegekrediet</t>
  </si>
  <si>
    <t>MBO Thuisw.</t>
  </si>
  <si>
    <t>12 t/m 17 (MBO)</t>
  </si>
  <si>
    <t>Totaal meetellende kinderen:</t>
  </si>
  <si>
    <t>Kostenbepaling t.b.v. jongmeerderjarigen</t>
  </si>
  <si>
    <t>Leeftijd op</t>
  </si>
  <si>
    <t>Het studiejaar start op:</t>
  </si>
  <si>
    <t>MBO (BOL) lesgeldplichtig?</t>
  </si>
  <si>
    <t>Totaal berekende studiekosten</t>
  </si>
  <si>
    <t>Lesgeld, zie:</t>
  </si>
  <si>
    <t>https://www.rijksoverheid.nl/onderwerpen/achttien-jaar-worden/vraag-en-antwoord/wanneer-moet-ik-lesgeld-betalen</t>
  </si>
  <si>
    <t>Collegegeld, zie:</t>
  </si>
  <si>
    <t>https://www.rijksoverheid.nl/onderwerpen/hoger-onderwijs/vraag-en-antwoord/wanneer-moet-ik-collegegeld-betalen</t>
  </si>
  <si>
    <t>Totale behoefte t.b.v. studie</t>
  </si>
  <si>
    <t>Collegegeld (voltijd)</t>
  </si>
  <si>
    <t>Studerenden MBO en jongmeerderjarigen (18 t/m 21)</t>
  </si>
  <si>
    <t>Jongmeerderjarigen, behoefte verlagend:</t>
  </si>
  <si>
    <t>Leeftijdsgroepen vallend onder</t>
  </si>
  <si>
    <t>Lesgeld bij 18+</t>
  </si>
  <si>
    <r>
      <t xml:space="preserve">Alleen invullen als het om een berekening </t>
    </r>
    <r>
      <rPr>
        <b/>
        <u/>
        <sz val="11"/>
        <color theme="1"/>
        <rFont val="Calibri"/>
        <family val="2"/>
        <scheme val="minor"/>
      </rPr>
      <t>TIJDENS</t>
    </r>
    <r>
      <rPr>
        <b/>
        <sz val="11"/>
        <color theme="1"/>
        <rFont val="Calibri"/>
        <family val="2"/>
        <scheme val="minor"/>
      </rPr>
      <t xml:space="preserve"> scheiding gaat</t>
    </r>
  </si>
  <si>
    <r>
      <t xml:space="preserve">Alleen invullen als het om een berekening </t>
    </r>
    <r>
      <rPr>
        <b/>
        <u/>
        <sz val="11"/>
        <color theme="1"/>
        <rFont val="Calibri"/>
        <family val="2"/>
        <scheme val="minor"/>
      </rPr>
      <t>NA</t>
    </r>
    <r>
      <rPr>
        <b/>
        <sz val="11"/>
        <color theme="1"/>
        <rFont val="Calibri"/>
        <family val="2"/>
        <scheme val="minor"/>
      </rPr>
      <t xml:space="preserve"> het scheiding gaat</t>
    </r>
  </si>
  <si>
    <t>Kosten kinderen volgens tabel of bij studie</t>
  </si>
  <si>
    <t>Kind valt onder de zorg / regie van</t>
  </si>
  <si>
    <t>Betreft: 2e dienstbetrekking (indien van toepassing)</t>
  </si>
  <si>
    <t>Betreft: 1e dienstbetrekking</t>
  </si>
  <si>
    <t>Bijtelling auto van de zaak direct in minderring brengen?</t>
  </si>
  <si>
    <r>
      <t xml:space="preserve">Zorgtoeslag 
</t>
    </r>
    <r>
      <rPr>
        <b/>
        <sz val="10.5"/>
        <color rgb="FFFF0000"/>
        <rFont val="Calibri"/>
        <family val="2"/>
        <scheme val="minor"/>
      </rPr>
      <t>(NB: Zit al in normbedragen)</t>
    </r>
  </si>
  <si>
    <t>Kind valt onder de zorg/regie van</t>
  </si>
  <si>
    <t>Kinderen &amp; hun (woon)plek</t>
  </si>
  <si>
    <t>https://www.belastingdienst.nl/wps/wcm/connect/bldcontentnl/belastingdienst/prive/vermogen_en_aanmerkelijk_belang/vermogen/belasting_betalen_over_uw_vermogen/heffingsvrij_vermogen/heffingsvrij_vermogen</t>
  </si>
  <si>
    <t>Heffingsvrij vermogen</t>
  </si>
  <si>
    <t>2) Uw kind staat ten minste 6 maanden in 1 kalenderjaar bij de gemeente ingeschreven op uw woonadres.</t>
  </si>
  <si>
    <t xml:space="preserve">    U bent co-ouder als het kind in een vast ritme gemiddeld ten minste 3 dagen per week bij elke ouder is.</t>
  </si>
  <si>
    <t xml:space="preserve">    Ook dagdelen tellen hier mee. Het gemiddelde aantal dagen kunt u ook beoordelen over een periode van langer dan 1 week.</t>
  </si>
  <si>
    <t>Tot aan dit bedrag is er recht op huursubsidie (bij een nieuwe aanvraag)</t>
  </si>
  <si>
    <t xml:space="preserve"> https://www.belastingdienst.nl/wps/wcm/connect/bldcontentnl/belastingdienst/prive/vermogen_en_aanmerkelijk_belang/vermogen/wat_zijn_uw_bezittingen_en_schulden/uw_schulden/drempel</t>
  </si>
  <si>
    <t>= (nr.41+44-44(Uitk WW)+(45t/m49)-(51t/m53)-55+57+58-62+70+78)</t>
  </si>
  <si>
    <t>Vervallen, studiekosten en andere scholingsuitgaven zijn vanaf 1 januari 2022 niet meer aftrekbaar;</t>
  </si>
  <si>
    <t>https://www.belastingdienst.nl/wps/wcm/connect/nl/aftrek-en-kortingen/content/afbouw-tarief-aftrekposten-bij-hoog-inkomen</t>
  </si>
  <si>
    <r>
      <rPr>
        <b/>
        <u/>
        <sz val="11"/>
        <rFont val="Calibri"/>
        <family val="2"/>
        <scheme val="minor"/>
      </rPr>
      <t xml:space="preserve">LET OP: </t>
    </r>
    <r>
      <rPr>
        <sz val="11"/>
        <rFont val="Calibri"/>
        <family val="2"/>
        <scheme val="minor"/>
      </rPr>
      <t>Het overgangsrecht levensloopregeling is gestopt per 1 januari 2022</t>
    </r>
  </si>
  <si>
    <t>(korting vanuit de overheid i.v.m. coronamaatregelen)</t>
  </si>
  <si>
    <t>Belasting schijf box 1 AOW leeftijd wordt in 2022 bereikt</t>
  </si>
  <si>
    <r>
      <t>Belasting schijf box 1 AOW leeftijd is</t>
    </r>
    <r>
      <rPr>
        <b/>
        <u/>
        <sz val="11"/>
        <color rgb="FFFF0000"/>
        <rFont val="Calibri"/>
        <family val="2"/>
        <scheme val="minor"/>
      </rPr>
      <t xml:space="preserve"> VOOR</t>
    </r>
    <r>
      <rPr>
        <b/>
        <u/>
        <sz val="11"/>
        <rFont val="Calibri"/>
        <family val="2"/>
        <scheme val="minor"/>
      </rPr>
      <t xml:space="preserve"> 2022 bereikt </t>
    </r>
    <r>
      <rPr>
        <b/>
        <u/>
        <sz val="11"/>
        <color rgb="FFFF0000"/>
        <rFont val="Calibri"/>
        <family val="2"/>
        <scheme val="minor"/>
      </rPr>
      <t>EN</t>
    </r>
    <r>
      <rPr>
        <b/>
        <u/>
        <sz val="11"/>
        <rFont val="Calibri"/>
        <family val="2"/>
        <scheme val="minor"/>
      </rPr>
      <t>:</t>
    </r>
  </si>
  <si>
    <r>
      <t xml:space="preserve">Belasting schijf box 1 AOW leeftijd is </t>
    </r>
    <r>
      <rPr>
        <b/>
        <u/>
        <sz val="11"/>
        <color rgb="FFFF0000"/>
        <rFont val="Calibri"/>
        <family val="2"/>
        <scheme val="minor"/>
      </rPr>
      <t>VOOR</t>
    </r>
    <r>
      <rPr>
        <b/>
        <u/>
        <sz val="11"/>
        <rFont val="Calibri"/>
        <family val="2"/>
        <scheme val="minor"/>
      </rPr>
      <t xml:space="preserve"> 2022 bereikt </t>
    </r>
    <r>
      <rPr>
        <b/>
        <u/>
        <sz val="11"/>
        <color rgb="FFFF0000"/>
        <rFont val="Calibri"/>
        <family val="2"/>
        <scheme val="minor"/>
      </rPr>
      <t>EN</t>
    </r>
    <r>
      <rPr>
        <b/>
        <u/>
        <sz val="11"/>
        <rFont val="Calibri"/>
        <family val="2"/>
        <scheme val="minor"/>
      </rPr>
      <t>:</t>
    </r>
  </si>
  <si>
    <t>Belasting schijf box 1 2022 AOW leeftijd nog niet bereikt</t>
  </si>
  <si>
    <t>Vervallen m.i.v. 01-01-2022</t>
  </si>
  <si>
    <t>(vervallen m.i.v. 01-01-2022)</t>
  </si>
  <si>
    <t>Bijstands-/participatiewet uitkering?</t>
  </si>
  <si>
    <t>Dit is de gebruikelijke berekening als er sprake is van een weekloon: (46 x bruto weekloon) + (46 x belaste waarde vakantiebonnen)
Vul hier het volledige bedrag aan vakantiebonnen in. Voor de werknemer die vakantiebonnen ontvangt, wordt 99% belast en 1% onbelast. Dit onbelaste bedrag wordt opgenomen bij post 119.</t>
  </si>
  <si>
    <t>Het % van deze premie is sinds 01-01-2009 0%, dus hier niets invullen!</t>
  </si>
  <si>
    <t>Bruto pensioen uitkering (OP, NP en IP-BW)</t>
  </si>
  <si>
    <t>Wordt berekend o.b.v. de geboortedatum &amp; (vastgezette) berekeningsdatum (zie cel C15)</t>
  </si>
  <si>
    <r>
      <rPr>
        <b/>
        <u/>
        <sz val="11"/>
        <color theme="1"/>
        <rFont val="Calibri"/>
        <family val="2"/>
        <scheme val="minor"/>
      </rPr>
      <t>Ja</t>
    </r>
    <r>
      <rPr>
        <sz val="11"/>
        <color theme="1"/>
        <rFont val="Calibri"/>
        <family val="2"/>
        <scheme val="minor"/>
      </rPr>
      <t xml:space="preserve"> invullen als er sprake is van inkomsten uit arbeid (BOX I)</t>
    </r>
  </si>
  <si>
    <r>
      <rPr>
        <b/>
        <u/>
        <sz val="11"/>
        <color theme="1"/>
        <rFont val="Calibri"/>
        <family val="2"/>
        <scheme val="minor"/>
      </rPr>
      <t>Ja</t>
    </r>
    <r>
      <rPr>
        <sz val="11"/>
        <color theme="1"/>
        <rFont val="Calibri"/>
        <family val="2"/>
        <scheme val="minor"/>
      </rPr>
      <t xml:space="preserve"> invullen als er sprake is van een (gedeeltelijke)</t>
    </r>
    <r>
      <rPr>
        <b/>
        <u/>
        <sz val="11"/>
        <color theme="1"/>
        <rFont val="Calibri"/>
        <family val="2"/>
        <scheme val="minor"/>
      </rPr>
      <t xml:space="preserve"> bijstand</t>
    </r>
    <r>
      <rPr>
        <sz val="11"/>
        <color theme="1"/>
        <rFont val="Calibri"/>
        <family val="2"/>
        <scheme val="minor"/>
      </rPr>
      <t>suitkering</t>
    </r>
  </si>
  <si>
    <t>Bereken de pensioendatum op site van de SVB</t>
  </si>
  <si>
    <t>Budget dat wordt uitbetaald geldt als bruto inkomen voor alimentatie!</t>
  </si>
  <si>
    <t>Moet bij een keuzebudget (zie 49) vaak op 0% worden gezet</t>
  </si>
  <si>
    <r>
      <t xml:space="preserve">Totale </t>
    </r>
    <r>
      <rPr>
        <b/>
        <u/>
        <sz val="11"/>
        <color rgb="FFFF0000"/>
        <rFont val="Calibri"/>
        <family val="2"/>
        <scheme val="minor"/>
      </rPr>
      <t>JAAR</t>
    </r>
    <r>
      <rPr>
        <sz val="11"/>
        <rFont val="Calibri"/>
        <family val="2"/>
        <scheme val="minor"/>
      </rPr>
      <t>waarde</t>
    </r>
    <r>
      <rPr>
        <sz val="11"/>
        <color theme="1"/>
        <rFont val="Calibri"/>
        <family val="2"/>
        <scheme val="minor"/>
      </rPr>
      <t xml:space="preserve"> v/h </t>
    </r>
    <r>
      <rPr>
        <b/>
        <u/>
        <sz val="11"/>
        <color theme="1"/>
        <rFont val="Calibri"/>
        <family val="2"/>
        <scheme val="minor"/>
      </rPr>
      <t>uitgeruilde</t>
    </r>
    <r>
      <rPr>
        <sz val="11"/>
        <color theme="1"/>
        <rFont val="Calibri"/>
        <family val="2"/>
        <scheme val="minor"/>
      </rPr>
      <t xml:space="preserve"> deel v/h IKB/PKB-budget</t>
    </r>
  </si>
  <si>
    <r>
      <t>Budgetdeel</t>
    </r>
    <r>
      <rPr>
        <b/>
        <u/>
        <sz val="11"/>
        <color theme="1"/>
        <rFont val="Calibri"/>
        <family val="2"/>
        <scheme val="minor"/>
      </rPr>
      <t>/jaar</t>
    </r>
    <r>
      <rPr>
        <sz val="11"/>
        <color theme="1"/>
        <rFont val="Calibri"/>
        <family val="2"/>
        <scheme val="minor"/>
      </rPr>
      <t xml:space="preserve"> dat </t>
    </r>
    <r>
      <rPr>
        <b/>
        <u/>
        <sz val="11"/>
        <color theme="1"/>
        <rFont val="Calibri"/>
        <family val="2"/>
        <scheme val="minor"/>
      </rPr>
      <t>structureel</t>
    </r>
    <r>
      <rPr>
        <sz val="11"/>
        <color theme="1"/>
        <rFont val="Calibri"/>
        <family val="2"/>
        <scheme val="minor"/>
      </rPr>
      <t xml:space="preserve"> wordt omgezet in vrije tijd, scholing etc. </t>
    </r>
  </si>
  <si>
    <t>Jaarbedragen</t>
  </si>
  <si>
    <t>Winstvrijstelling</t>
  </si>
  <si>
    <t>92a</t>
  </si>
  <si>
    <t>44/47/48</t>
  </si>
  <si>
    <t>Budgetdeel opgenomen als zorgdagen, studie etc. telt niet mee!</t>
  </si>
  <si>
    <t xml:space="preserve">Niet uitgeruilde deel van het Individueel keuzebudget (IKB/PKB), </t>
  </si>
  <si>
    <t>Vakantietoeslag mee rekenen?</t>
  </si>
  <si>
    <t>Wie heeft de woning verlaten</t>
  </si>
  <si>
    <t>Namen</t>
  </si>
  <si>
    <t>Wie betaald de hypotheekrente</t>
  </si>
  <si>
    <t>Hoogte van de totale hypotheekrente</t>
  </si>
  <si>
    <t>/per jaar</t>
  </si>
  <si>
    <t>Hoogte WOZ-waarde</t>
  </si>
  <si>
    <t>Hoofdsom van de hypotheek schuld</t>
  </si>
  <si>
    <t>Betaalde rente voor ex-partner meenemen vanuit</t>
  </si>
  <si>
    <t>Berekenen vanuit</t>
  </si>
  <si>
    <t>Draagkrachtloos</t>
  </si>
  <si>
    <t>82a</t>
  </si>
  <si>
    <t>83a</t>
  </si>
  <si>
    <t>117a</t>
  </si>
  <si>
    <t>Verlater</t>
  </si>
  <si>
    <t>Blijver</t>
  </si>
  <si>
    <t>Draagkracht of draagkrachtloos inkomen</t>
  </si>
  <si>
    <t>Verlater betaald alle rente</t>
  </si>
  <si>
    <t>Ieder betaald de helft van de rente</t>
  </si>
  <si>
    <t>Blijver betaald alle rente</t>
  </si>
  <si>
    <t>Situatie 1</t>
  </si>
  <si>
    <t>Situatie 2</t>
  </si>
  <si>
    <t>Situatie 3</t>
  </si>
  <si>
    <t>Situatie 4</t>
  </si>
  <si>
    <t>Beiden 50%</t>
  </si>
  <si>
    <t>Hoogte Eigen Woning Forfait</t>
  </si>
  <si>
    <t>Welke situatie is er van toepassing o.b.v. gemaakte keuzes?</t>
  </si>
  <si>
    <t>Is de woning langer dan 24 maanden geleden verlaten?</t>
  </si>
  <si>
    <t>Periode</t>
  </si>
  <si>
    <t>79a</t>
  </si>
  <si>
    <t>+ (per jaar)</t>
  </si>
  <si>
    <r>
      <rPr>
        <b/>
        <sz val="11"/>
        <color rgb="FFFF0000"/>
        <rFont val="Calibri"/>
        <family val="2"/>
        <scheme val="minor"/>
      </rPr>
      <t>-</t>
    </r>
    <r>
      <rPr>
        <sz val="11"/>
        <color rgb="FFFF0000"/>
        <rFont val="Calibri"/>
        <family val="2"/>
        <scheme val="minor"/>
      </rPr>
      <t xml:space="preserve"> (per jaar)</t>
    </r>
  </si>
  <si>
    <t>- (per jaar)</t>
  </si>
  <si>
    <r>
      <t xml:space="preserve">Zijn er in het convenant afspraken gemaakt over het </t>
    </r>
    <r>
      <rPr>
        <b/>
        <u/>
        <sz val="11"/>
        <color theme="1"/>
        <rFont val="Calibri"/>
        <family val="2"/>
        <scheme val="minor"/>
      </rPr>
      <t>NA SCHEIDING</t>
    </r>
    <r>
      <rPr>
        <b/>
        <sz val="11"/>
        <color theme="1"/>
        <rFont val="Calibri"/>
        <family val="2"/>
        <scheme val="minor"/>
      </rPr>
      <t xml:space="preserve"> en </t>
    </r>
    <r>
      <rPr>
        <b/>
        <u/>
        <sz val="11"/>
        <color theme="1"/>
        <rFont val="Calibri"/>
        <family val="2"/>
        <scheme val="minor"/>
      </rPr>
      <t>NA VERDELING</t>
    </r>
    <r>
      <rPr>
        <b/>
        <sz val="11"/>
        <color theme="1"/>
        <rFont val="Calibri"/>
        <family val="2"/>
        <scheme val="minor"/>
      </rPr>
      <t xml:space="preserve"> Eigen Woning betalen van hypotheekrente/aflossing voor de ex. partner? Dan deze bedragen hier invullen. 
(Deze komen terug in de posten 138 (Alimentatieverplichtingen), 83 (Eigen Woning) en 79 (Periodieke uitkeringen)) </t>
    </r>
  </si>
  <si>
    <t>Eigen Woning Forfait ontvangen als partneralimentatie</t>
  </si>
  <si>
    <t>Eigen Woning Forfait van de Onverdeeld Eigen Woning</t>
  </si>
  <si>
    <t>Eigen Woning Forfait betaald als partneralimentatie</t>
  </si>
  <si>
    <t>Rente ontvangen als partneralimentatie</t>
  </si>
  <si>
    <r>
      <rPr>
        <sz val="11"/>
        <color theme="1"/>
        <rFont val="Calibri"/>
        <family val="2"/>
        <scheme val="minor"/>
      </rPr>
      <t>Rente Onverdeeld Eigen Woning</t>
    </r>
  </si>
  <si>
    <t>Rente betaald voor ex. partner als partneralimentatie</t>
  </si>
  <si>
    <t>Rente Onverdeeld Eigen Woning Eigen aandeel</t>
  </si>
  <si>
    <t>Betaalde aflossing/maand</t>
  </si>
  <si>
    <t>Periodieke betalingen erfpacht e.d./ maand</t>
  </si>
  <si>
    <r>
      <t xml:space="preserve">Rente bijdrage ZVW over de rente </t>
    </r>
    <r>
      <rPr>
        <u/>
        <sz val="11"/>
        <color theme="1"/>
        <rFont val="Calibri"/>
        <family val="2"/>
        <scheme val="minor"/>
      </rPr>
      <t>berekenen over</t>
    </r>
  </si>
  <si>
    <r>
      <t xml:space="preserve">Eigen Woning Forfait bijdrage ZVW over EWF </t>
    </r>
    <r>
      <rPr>
        <u/>
        <sz val="11"/>
        <color theme="1"/>
        <rFont val="Calibri"/>
        <family val="2"/>
        <scheme val="minor"/>
      </rPr>
      <t>berekenen over</t>
    </r>
  </si>
  <si>
    <r>
      <t xml:space="preserve">Aandeel in </t>
    </r>
    <r>
      <rPr>
        <b/>
        <u/>
        <sz val="11"/>
        <color theme="1"/>
        <rFont val="Calibri"/>
        <family val="2"/>
        <scheme val="minor"/>
      </rPr>
      <t>schuld</t>
    </r>
    <r>
      <rPr>
        <sz val="11"/>
        <color theme="1"/>
        <rFont val="Calibri"/>
        <family val="2"/>
        <scheme val="minor"/>
      </rPr>
      <t xml:space="preserve"> van de Onverdeeld Eigen Woning in </t>
    </r>
    <r>
      <rPr>
        <b/>
        <u/>
        <sz val="11"/>
        <color theme="1"/>
        <rFont val="Calibri"/>
        <family val="2"/>
        <scheme val="minor"/>
      </rPr>
      <t xml:space="preserve">box 3 </t>
    </r>
  </si>
  <si>
    <t>Hypotheekrente/Premie levensverzekering per maand</t>
  </si>
  <si>
    <t>Bruto loon uit loondienst (waarover al ZKV is betaald):</t>
  </si>
  <si>
    <t>In mindering te brengen bijtelling auto van de zaak</t>
  </si>
  <si>
    <t>Ink.afhankelijke bijdrage premie ZVW (niet zijnde AOW)</t>
  </si>
  <si>
    <t>124d</t>
  </si>
  <si>
    <t>124f</t>
  </si>
  <si>
    <t>(evt. correctie hierboven invullen bij Af: Korting onredelijke wooonlast)</t>
  </si>
  <si>
    <t>OEW: Totaal fictief PA-inkomen verkregen via EWF / Rente:</t>
  </si>
  <si>
    <t>Op aanslag verschuldigde inkomensafhankelijke bijdrage ZVW</t>
  </si>
  <si>
    <t>Bruto jaar inkomen uit loon:</t>
  </si>
  <si>
    <t>41-50</t>
  </si>
  <si>
    <t>Bruto AOW-uitkering</t>
  </si>
  <si>
    <t>Bruto loon volgens jaaropgaaf werkgever(s)</t>
  </si>
  <si>
    <t>Alle inkomsten die niet uit loondienst komen, zoals bijv. freelancer of gastouder moeten hier worden opgegeven</t>
  </si>
  <si>
    <t>Totaal aan (loon)inkomsten waarover al ZVW-premie is afgedragen:</t>
  </si>
  <si>
    <t>ZVW-plichtig bedrag</t>
  </si>
  <si>
    <t>Premie ZVW afdracht over partneralimentatie/AOW</t>
  </si>
  <si>
    <t>Dit is het max. ZVW-restbedrag wat gebruikt kan worden bij andere posten hierna met een ZVW-premie afdrachtplicht</t>
  </si>
  <si>
    <t>Resterend bedrag waarover nog ZVW-premie geheven kan worden:</t>
  </si>
  <si>
    <t>ZVW-premie afdracht</t>
  </si>
  <si>
    <t>Overige inkomsten waarover nog ZVW-premie geheven kan worden:</t>
  </si>
  <si>
    <t xml:space="preserve">(nr.113 - nr.117(a) + nr.118 + 119a - 119b </t>
  </si>
  <si>
    <r>
      <t xml:space="preserve">Hypotheekrentebetalingen aan ex. partner </t>
    </r>
    <r>
      <rPr>
        <b/>
        <u/>
        <sz val="11"/>
        <rFont val="Calibri"/>
        <family val="2"/>
        <scheme val="minor"/>
      </rPr>
      <t>na scheiding</t>
    </r>
    <r>
      <rPr>
        <sz val="11"/>
        <rFont val="Calibri"/>
        <family val="2"/>
        <scheme val="minor"/>
      </rPr>
      <t xml:space="preserve"> en </t>
    </r>
    <r>
      <rPr>
        <b/>
        <u/>
        <sz val="11"/>
        <rFont val="Calibri"/>
        <family val="2"/>
        <scheme val="minor"/>
      </rPr>
      <t>nadat</t>
    </r>
    <r>
      <rPr>
        <sz val="11"/>
        <rFont val="Calibri"/>
        <family val="2"/>
        <scheme val="minor"/>
      </rPr>
      <t xml:space="preserve"> de Eigen Woning Verdeeld (VEW) is.</t>
    </r>
  </si>
  <si>
    <t>Uitgaven voor kinderopvang (vervallen):</t>
  </si>
  <si>
    <t>Vervallen, is vervangen door de Kinderopvangtoeslag!</t>
  </si>
  <si>
    <t>83b</t>
  </si>
  <si>
    <t>Betreft de posten 71 t/m 74, 83, 84, 91 en 92a (lichtgeel)</t>
  </si>
  <si>
    <r>
      <t xml:space="preserve">Bedrag aan </t>
    </r>
    <r>
      <rPr>
        <u/>
        <sz val="11"/>
        <color theme="1"/>
        <rFont val="Calibri"/>
        <family val="2"/>
        <scheme val="minor"/>
      </rPr>
      <t>persoonsgebonden aftrekposten</t>
    </r>
    <r>
      <rPr>
        <sz val="11"/>
        <color theme="1"/>
        <rFont val="Calibri"/>
        <family val="2"/>
        <scheme val="minor"/>
      </rPr>
      <t xml:space="preserve"> waar tariefsbeperking voor </t>
    </r>
    <r>
      <rPr>
        <b/>
        <i/>
        <u/>
        <sz val="11"/>
        <color theme="1"/>
        <rFont val="Calibri"/>
        <family val="2"/>
        <scheme val="minor"/>
      </rPr>
      <t>kan</t>
    </r>
    <r>
      <rPr>
        <sz val="11"/>
        <color theme="1"/>
        <rFont val="Calibri"/>
        <family val="2"/>
        <scheme val="minor"/>
      </rPr>
      <t xml:space="preserve"> gelden</t>
    </r>
  </si>
  <si>
    <t>n.v.t.</t>
  </si>
  <si>
    <r>
      <rPr>
        <b/>
        <u/>
        <sz val="11"/>
        <color theme="1"/>
        <rFont val="Calibri"/>
        <family val="2"/>
        <scheme val="minor"/>
      </rPr>
      <t>Netto</t>
    </r>
    <r>
      <rPr>
        <sz val="11"/>
        <color theme="1"/>
        <rFont val="Calibri"/>
        <family val="2"/>
        <scheme val="minor"/>
      </rPr>
      <t xml:space="preserve"> belastingvoordeel/nadeel Eigen Woning/maand:</t>
    </r>
  </si>
  <si>
    <r>
      <rPr>
        <b/>
        <u/>
        <sz val="11"/>
        <color theme="1"/>
        <rFont val="Calibri"/>
        <family val="2"/>
        <scheme val="minor"/>
      </rPr>
      <t>Bruto</t>
    </r>
    <r>
      <rPr>
        <sz val="11"/>
        <color theme="1"/>
        <rFont val="Calibri"/>
        <family val="2"/>
        <scheme val="minor"/>
      </rPr>
      <t xml:space="preserve"> belastingvoordeel/nadeel Eigen Woning/maand:</t>
    </r>
  </si>
  <si>
    <t>HBO/WO college geld korting?</t>
  </si>
  <si>
    <r>
      <t xml:space="preserve">Alleen bij een </t>
    </r>
    <r>
      <rPr>
        <b/>
        <u/>
        <sz val="11"/>
        <color rgb="FFFF0000"/>
        <rFont val="Calibri"/>
        <family val="2"/>
        <scheme val="minor"/>
      </rPr>
      <t>herberekening</t>
    </r>
    <r>
      <rPr>
        <b/>
        <u/>
        <sz val="11"/>
        <rFont val="Calibri"/>
        <family val="2"/>
        <scheme val="minor"/>
      </rPr>
      <t>: G</t>
    </r>
    <r>
      <rPr>
        <sz val="11"/>
        <color theme="1"/>
        <rFont val="Calibri"/>
        <family val="2"/>
        <scheme val="minor"/>
      </rPr>
      <t>aat hier om het Netto Besteedbaar Gezinsinkomen uit het jaar van scheiding invullen</t>
    </r>
  </si>
  <si>
    <t>(Eerdere) alimentatie gegevens (= nodig bij een herberekening)</t>
  </si>
  <si>
    <t>Overige bruto arbeidsinkomsten anders dan uit de hiervoor genoemde posten 41 t/m 48</t>
  </si>
  <si>
    <r>
      <t xml:space="preserve">Overige bruto arbeidsinkomsten </t>
    </r>
    <r>
      <rPr>
        <b/>
        <u/>
        <sz val="11"/>
        <color theme="1"/>
        <rFont val="Calibri"/>
        <family val="2"/>
        <scheme val="minor"/>
      </rPr>
      <t>per jaar</t>
    </r>
  </si>
  <si>
    <t>Te verwachten beschikbare winst (voor ondernemersaftrek)</t>
  </si>
  <si>
    <t>VEW: Fictief inkomen partneralimentatie (zie post 83b)</t>
  </si>
  <si>
    <t>Totaal Netto inkomsten (incl. evt. KGB):</t>
  </si>
  <si>
    <t>Door werkgever/uitkeringsinstantie ingehouden inkomensafhankelijke bijdrage ZVW (vervallen)</t>
  </si>
  <si>
    <r>
      <t xml:space="preserve">Dit is het loon o.b.v. een jaaropgave (indien ingevuld), dit wordt echter afgeraden i.v.m. zuiverheid van de berekening! 
</t>
    </r>
    <r>
      <rPr>
        <b/>
        <sz val="11"/>
        <color rgb="FFFF0000"/>
        <rFont val="Calibri"/>
        <family val="2"/>
        <scheme val="minor"/>
      </rPr>
      <t>TIP: Bereken de alimentatie (ook) altijd via invullen van de nr's 41 t/m 58</t>
    </r>
  </si>
  <si>
    <t>Totaal aantal kinderen</t>
  </si>
  <si>
    <r>
      <t xml:space="preserve">Een NBI tbv KA  &gt; </t>
    </r>
    <r>
      <rPr>
        <sz val="11"/>
        <color theme="1"/>
        <rFont val="Calibri"/>
        <family val="2"/>
      </rPr>
      <t>€</t>
    </r>
    <r>
      <rPr>
        <sz val="7.7"/>
        <color theme="1"/>
        <rFont val="Calibri"/>
        <family val="2"/>
      </rPr>
      <t xml:space="preserve"> </t>
    </r>
    <r>
      <rPr>
        <sz val="11"/>
        <color theme="1"/>
        <rFont val="Calibri"/>
        <family val="2"/>
        <scheme val="minor"/>
      </rPr>
      <t>6000, toch maximaliseren op € 6000?</t>
    </r>
  </si>
  <si>
    <t xml:space="preserve">Onderstaande NBI wordt uiteindelijk gebruikt: </t>
  </si>
  <si>
    <t>Netto Gezinsinkomen (NBI)</t>
  </si>
  <si>
    <t>Eigen aandeel ouders vlgs NIBUD-tabel:</t>
  </si>
  <si>
    <t>In mindering te brengen op zorgkorting:</t>
  </si>
  <si>
    <t>Korting uitgedrukt in %:</t>
  </si>
  <si>
    <t>Winst uit onderneming incl. aftrekbeperking</t>
  </si>
  <si>
    <t>65-66</t>
  </si>
  <si>
    <t>Bruto inkomen box 1:</t>
  </si>
  <si>
    <t>Te ontvangen partneralimentatie</t>
  </si>
  <si>
    <t>Feitelijke inkomsten box 2 en 3:</t>
  </si>
  <si>
    <t>Onbelast inkomen:</t>
  </si>
  <si>
    <t>Totaal inkomen- incl. alimentatieverplichting ex. partner(s)</t>
  </si>
  <si>
    <t>Te betalen / ontvangen alimentatie (komt uit cel J16)</t>
  </si>
  <si>
    <t>Belastbaar verzamelinkomen uit werk en woning (a t/m h) (Box I):</t>
  </si>
  <si>
    <t>Totaal inkomen:</t>
  </si>
  <si>
    <t>Belastbaar verzamelinkomen:</t>
  </si>
  <si>
    <t>Bedrag waarover een eventuele toptarief beperking kan gelden:</t>
  </si>
  <si>
    <t>Correctie toptarief / Bedrag waarover de tariefsbeperking geldt:</t>
  </si>
  <si>
    <t xml:space="preserve"> Belasting bij Jusvergelijking</t>
  </si>
  <si>
    <t>Inkomenstenbelasting Box I:</t>
  </si>
  <si>
    <t xml:space="preserve">- </t>
  </si>
  <si>
    <t>Corrigeer met +/-:</t>
  </si>
  <si>
    <t>Volgnr.</t>
  </si>
  <si>
    <t>Post</t>
  </si>
  <si>
    <t>NBI per maand</t>
  </si>
  <si>
    <t>NBI per jaar</t>
  </si>
  <si>
    <t xml:space="preserve"> </t>
  </si>
  <si>
    <t>Bijtelling auto (t.b.v. verzamelinkomen bruto/netto berekeningen)</t>
  </si>
  <si>
    <t>Geen / kleine eigenwoningschuld (wet Hillen)</t>
  </si>
  <si>
    <t>Eigen woning forfait (EWF)</t>
  </si>
  <si>
    <t>Geeft het EWF uit 82 minus de aftrekbare kosten een + restbedrag? 
Dan is er een aftrek op het in rekening gebrachte EWF-bedrag</t>
  </si>
  <si>
    <t>AP</t>
  </si>
  <si>
    <t>AG</t>
  </si>
  <si>
    <t>Studiefinanciering MBO (BOL), augustus t/m december</t>
  </si>
  <si>
    <t>Studiefinanciering HBO / WO, september t/m december</t>
  </si>
  <si>
    <t>Als er weinig of geen draagkracht vind correctie plaats o.b.v. tabellen hieronder</t>
  </si>
  <si>
    <t>Aftrekbare rente &amp; aftrekbare kosten/per jaar:</t>
  </si>
  <si>
    <t>(keuzetabel)</t>
  </si>
  <si>
    <t>Alleenstaande ouderenkorting</t>
  </si>
  <si>
    <t>https://www.belastingdienst.nl/wps/wcm/connect/bldcontentnl/belastingdienst/prive/inkomstenbelasting/heffingskortingen_boxen_tarieven/heffingskortingen/algemene_heffingskorting/tabel-algemene-heffingskorting-2023</t>
  </si>
  <si>
    <t>https://www.belastingdienst.nl/wps/wcm/connect/bldcontentnl/belastingdienst/prive/inkomstenbelasting/heffingskortingen_boxen_tarieven/heffingskortingen/inkomensafhankelijke_combikorting/</t>
  </si>
  <si>
    <t>https://www.belastingdienst.nl/wps/wcm/connect/bldcontentnl/belastingdienst/prive/inkomstenbelasting/heffingskortingen_boxen_tarieven/heffingskortingen/arbeidskorting/</t>
  </si>
  <si>
    <t>Drempel specifieke zorgkosten 2022 (deels fiscaal partner)</t>
  </si>
  <si>
    <t>https://www.belastingdienst.nl/wps/wcm/connect/bldcontentnl/belastingdienst/prive/relatie_familie_en_gezondheid/gezondheid/aftrek_zorgkosten/hoe_berekent_u_uw_aftrek/drempelbedrag_berekenen/drempelbedrag-2022</t>
  </si>
  <si>
    <t>Forfaitair rendement op vermogen</t>
  </si>
  <si>
    <t>Woonbudget %  van het NBI</t>
  </si>
  <si>
    <t>Bijstandsnorm per 01-01-2023</t>
  </si>
  <si>
    <r>
      <t>Bruto AOW-uitkering (</t>
    </r>
    <r>
      <rPr>
        <sz val="11"/>
        <color rgb="FFFF0000"/>
        <rFont val="Calibri"/>
        <family val="2"/>
        <scheme val="minor"/>
      </rPr>
      <t>geen premies werknemersverzekeringen</t>
    </r>
    <r>
      <rPr>
        <sz val="11"/>
        <color theme="1"/>
        <rFont val="Calibri"/>
        <family val="2"/>
        <scheme val="minor"/>
      </rPr>
      <t>)</t>
    </r>
  </si>
  <si>
    <t>Vakantietoeslag (meestal 8%)</t>
  </si>
  <si>
    <t>Bruto arbeidsinkomen bouw inclusief belast deel waarde vakantiebonnen, 46 weken (zie 118 voor het onbelaste deel)</t>
  </si>
  <si>
    <t>Stakingsaftrek (max € 3630,-)</t>
  </si>
  <si>
    <t>Bank- en spaartegoeden en contant geld</t>
  </si>
  <si>
    <t>Cat.</t>
  </si>
  <si>
    <t>Schulden</t>
  </si>
  <si>
    <t>https://www.belastingdienst.nl/wps/wcm/connect/nl/box-3/content/box-3-inkomen-op-voorlopige-aanslag-2023</t>
  </si>
  <si>
    <t>d. Schulden (schuld - drempelbedrag):</t>
  </si>
  <si>
    <t xml:space="preserve">    Af: Drempel bij schulden (alleenstaande):</t>
  </si>
  <si>
    <t>Grondslag sparen en beleggen</t>
  </si>
  <si>
    <t>Totaal vermogen / Belastbaar rendement:</t>
  </si>
  <si>
    <t>Totale woonbudget of werkelijke lasten:</t>
  </si>
  <si>
    <r>
      <t xml:space="preserve">Als de woonlast </t>
    </r>
    <r>
      <rPr>
        <b/>
        <u/>
        <sz val="11"/>
        <rFont val="Calibri"/>
        <family val="2"/>
        <scheme val="minor"/>
      </rPr>
      <t>ZONDER GELDIGE REDEN</t>
    </r>
    <r>
      <rPr>
        <sz val="11"/>
        <rFont val="Calibri"/>
        <family val="2"/>
        <scheme val="minor"/>
      </rPr>
      <t xml:space="preserve"> te hoog is (Zie hieronder) mag er een correctie worden toepast, maximaal ter hoogte van het onredelijk geachte deel.</t>
    </r>
  </si>
  <si>
    <t>Beschikbaar voor kinder- (uit huidige of een eerder huwelijk)/ partneralimentatie:</t>
  </si>
  <si>
    <t>HBO/WO</t>
  </si>
  <si>
    <t>MBO Berekend</t>
  </si>
  <si>
    <t>HBO/WO Berekend</t>
  </si>
  <si>
    <t>0 t/m 17 (Tabel)</t>
  </si>
  <si>
    <t>Totaal aantal kinderen:</t>
  </si>
  <si>
    <t>Tabel eigen aandeel kosten van kinderen (maandbedragen)</t>
  </si>
  <si>
    <t>Aantal
kinderen</t>
  </si>
  <si>
    <t>Leeftijdscategorie kind</t>
  </si>
  <si>
    <t>Aantal kinderen per categorie</t>
  </si>
  <si>
    <t>Aantal kinderen</t>
  </si>
  <si>
    <t>Minimum inkomensgrens</t>
  </si>
  <si>
    <t>Maximum inkomensgrens</t>
  </si>
  <si>
    <t>Gevonden kosten:</t>
  </si>
  <si>
    <t>Eigen aandeel ouders volgens NIBUD tabel</t>
  </si>
  <si>
    <t>Zie: Wit/groene regel in de tabel hiernaast</t>
  </si>
  <si>
    <t>Zorgkorting na correctie</t>
  </si>
  <si>
    <t>Max. zorgkorting</t>
  </si>
  <si>
    <t>2a</t>
  </si>
  <si>
    <t>2b</t>
  </si>
  <si>
    <r>
      <t xml:space="preserve">Met ingang van </t>
    </r>
    <r>
      <rPr>
        <b/>
        <u/>
        <sz val="11"/>
        <color theme="1"/>
        <rFont val="Calibri"/>
        <family val="2"/>
        <scheme val="minor"/>
      </rPr>
      <t>01-01-2023</t>
    </r>
    <r>
      <rPr>
        <sz val="11"/>
        <color theme="1"/>
        <rFont val="Calibri"/>
        <family val="2"/>
        <scheme val="minor"/>
      </rPr>
      <t xml:space="preserve"> wordt er voor de partneralimentatie - net als bij het bepalen van de kinderalimentatie - uitgegaan van een forfaitair woonbudget i.p.v. de werkelijke woonlasten/ziektekosten. Hiermee komen de posten 124 t/m 133 te vervallen.</t>
    </r>
  </si>
  <si>
    <t>Zijn er meer dan 4 meetellende kinderen? 
Dan tellen er max. 4 mee!</t>
  </si>
  <si>
    <t>Zijn er meer dan 4 kinderen? 
Dan tellen er max. 4 mee!</t>
  </si>
  <si>
    <t xml:space="preserve"> Max. 4 kinderen t.a.v. Eigen aandeel</t>
  </si>
  <si>
    <r>
      <rPr>
        <b/>
        <u/>
        <sz val="11"/>
        <rFont val="Calibri"/>
        <family val="2"/>
        <scheme val="minor"/>
      </rPr>
      <t>Advies:</t>
    </r>
    <r>
      <rPr>
        <sz val="11"/>
        <rFont val="Calibri"/>
        <family val="2"/>
        <scheme val="minor"/>
      </rPr>
      <t xml:space="preserve"> Werk met de posten 41 t/m 58 i.p.v. met het loon volgens jaaropgave , dit wordt i.v.m. de zuiverheid van de berekening STERK aanbevolen !!!</t>
    </r>
  </si>
  <si>
    <t>18 tot 21 (Student)</t>
  </si>
  <si>
    <t>21 of ouder</t>
  </si>
  <si>
    <t>18 tot 21 (Tabel)</t>
  </si>
  <si>
    <r>
      <t xml:space="preserve">KA na aftrek van Zorgkorting </t>
    </r>
    <r>
      <rPr>
        <b/>
        <sz val="11"/>
        <color rgb="FFFF0000"/>
        <rFont val="Calibri"/>
        <family val="2"/>
        <scheme val="minor"/>
      </rPr>
      <t>na correctie</t>
    </r>
  </si>
  <si>
    <t>Invloed van de kosten t.a.v. de kinderen:</t>
  </si>
  <si>
    <t>De Tremanorm zegt over de per 01-01-2023 geldenden JUS-vergelijking:</t>
  </si>
  <si>
    <r>
      <t xml:space="preserve">De JUS-vergelijking mag er niet toe leiden dat:
1) Er een </t>
    </r>
    <r>
      <rPr>
        <b/>
        <u/>
        <sz val="11"/>
        <color theme="1"/>
        <rFont val="Calibri"/>
        <family val="2"/>
        <scheme val="minor"/>
      </rPr>
      <t>hogere alimentatie</t>
    </r>
    <r>
      <rPr>
        <sz val="11"/>
        <color theme="1"/>
        <rFont val="Calibri"/>
        <family val="2"/>
        <scheme val="minor"/>
      </rPr>
      <t xml:space="preserve"> wordt vastgesteld dan de draagkracht (post 136) van de onderhoudsplichtige toelaat.
2) De onderhoudsplichtige </t>
    </r>
    <r>
      <rPr>
        <b/>
        <u/>
        <sz val="11"/>
        <color theme="1"/>
        <rFont val="Calibri"/>
        <family val="2"/>
        <scheme val="minor"/>
      </rPr>
      <t>meer dan de behoefte</t>
    </r>
    <r>
      <rPr>
        <sz val="11"/>
        <color theme="1"/>
        <rFont val="Calibri"/>
        <family val="2"/>
        <scheme val="minor"/>
      </rPr>
      <t xml:space="preserve"> (post 135) te besteden heeft.</t>
    </r>
  </si>
  <si>
    <t>Forfait noodzakelijke lasten (PA) / Bijstandsnorm (KA)</t>
  </si>
  <si>
    <t>Soort loon 3</t>
  </si>
  <si>
    <t>Soort loon 2</t>
  </si>
  <si>
    <t>Soort loon 1</t>
  </si>
  <si>
    <t>(Maand/Jaar)</t>
  </si>
  <si>
    <t>(Maand/4-Weken/Week)</t>
  </si>
  <si>
    <t>Bij de keuze DGA = Ja worden de posten 41, 44, 46 t/m 48 toegerekend aan de DGA.</t>
  </si>
  <si>
    <t>41, 44, 46 t/m 48</t>
  </si>
  <si>
    <t>Post 89: Premies uitk. Inkomensvoorzieningen, aftrekbaar</t>
  </si>
  <si>
    <t>Maximale woonlasten KA %</t>
  </si>
  <si>
    <r>
      <rPr>
        <b/>
        <u/>
        <sz val="11"/>
        <rFont val="Calibri"/>
        <family val="2"/>
        <scheme val="minor"/>
      </rPr>
      <t>LET OP:</t>
    </r>
    <r>
      <rPr>
        <sz val="11"/>
        <rFont val="Calibri"/>
        <family val="2"/>
        <scheme val="minor"/>
      </rPr>
      <t xml:space="preserve"> Bij geen/negatief inkomen wordt voor de KA berekening de berekende minimum draagkracht uit de draagkrachttabel aangehouden. Bij een (gedeeltelijke) bijstandsuitkering is dit bedrag echter € 0,-</t>
    </r>
  </si>
  <si>
    <t>Uitkering in het kader van andere sociale verzekeringswetten</t>
  </si>
  <si>
    <t>Bruto uitkering andere sociale verzekeringswetten (niet zijnde bijstand)</t>
  </si>
  <si>
    <t>Netto inkomen:</t>
  </si>
  <si>
    <t>- Afbouw algemene heffingskorting bij hoger inkomen tgv alimentatiebedrag</t>
  </si>
  <si>
    <r>
      <rPr>
        <b/>
        <u/>
        <sz val="11"/>
        <rFont val="Calibri"/>
        <family val="2"/>
        <scheme val="minor"/>
      </rPr>
      <t>LET OP:</t>
    </r>
    <r>
      <rPr>
        <sz val="11"/>
        <rFont val="Calibri"/>
        <family val="2"/>
        <scheme val="minor"/>
      </rPr>
      <t xml:space="preserve"> Het gaat hier om het KGB wat </t>
    </r>
    <r>
      <rPr>
        <b/>
        <u/>
        <sz val="11"/>
        <rFont val="Calibri"/>
        <family val="2"/>
        <scheme val="minor"/>
      </rPr>
      <t>NA scheiding</t>
    </r>
    <r>
      <rPr>
        <sz val="11"/>
        <rFont val="Calibri"/>
        <family val="2"/>
        <scheme val="minor"/>
      </rPr>
      <t xml:space="preserve"> wordt/zal worden ontvangen. </t>
    </r>
    <r>
      <rPr>
        <b/>
        <u/>
        <sz val="11"/>
        <rFont val="Calibri"/>
        <family val="2"/>
        <scheme val="minor"/>
      </rPr>
      <t>NIET</t>
    </r>
    <r>
      <rPr>
        <sz val="11"/>
        <rFont val="Calibri"/>
        <family val="2"/>
        <scheme val="minor"/>
      </rPr>
      <t xml:space="preserve"> om het KGB wat ten tijde van de relatie al werd ontvangen, dit is al verwerkt in het NBI!</t>
    </r>
  </si>
  <si>
    <r>
      <t>- Kindgebonden budget + Alleenstaande ouderkop (</t>
    </r>
    <r>
      <rPr>
        <sz val="11"/>
        <color rgb="FFFF0000"/>
        <rFont val="Calibri"/>
        <family val="2"/>
        <scheme val="minor"/>
      </rPr>
      <t>zie Toelichting in kolom H !!!</t>
    </r>
    <r>
      <rPr>
        <sz val="11"/>
        <color theme="1"/>
        <rFont val="Calibri"/>
        <family val="2"/>
        <scheme val="minor"/>
      </rPr>
      <t>)</t>
    </r>
  </si>
  <si>
    <t>- Bij te tellen heffingskorting partner (zie Toelichting in kolom H !!!)</t>
  </si>
  <si>
    <t>Arbeidsinkomen t.b.v. KGB berekening:</t>
  </si>
  <si>
    <t>57a</t>
  </si>
  <si>
    <t>Bij de keuze DGA = Ja worden de posten 41, 44, 46 t/m 48 toegerekend aan de DGA. Dit wordt verrekend bij post 119b</t>
  </si>
  <si>
    <t>Afwijkende woonlasten berekening</t>
  </si>
  <si>
    <r>
      <t>=&gt; L</t>
    </r>
    <r>
      <rPr>
        <b/>
        <sz val="12"/>
        <color rgb="FF00B050"/>
        <rFont val="Calibri"/>
        <family val="2"/>
        <scheme val="minor"/>
      </rPr>
      <t>aagste</t>
    </r>
    <r>
      <rPr>
        <b/>
        <sz val="12"/>
        <color theme="1"/>
        <rFont val="Calibri"/>
        <family val="2"/>
        <scheme val="minor"/>
      </rPr>
      <t xml:space="preserve"> van deze 3 hierboven is maatgevend &lt;=</t>
    </r>
  </si>
  <si>
    <t>Betaalde hypotheekrente per maand uit onverdeelde woning</t>
  </si>
  <si>
    <t>Betaalde hypotheekrente per maand uit eigen woning</t>
  </si>
  <si>
    <t>Studiekosten (vervallen)</t>
  </si>
  <si>
    <t>Is er bij bovenstaande loonposten sprake van inkomsten als DGA waarover er nog premie ZVW moet worden afgedragen?
(DGA wordt dan niet gezien als werknemer in de onderneming, zie post 117a voor de evt. premie afdracht)</t>
  </si>
  <si>
    <t>De afwijkende werkelijke woonlast zoals hieronder weergegeven gebruiken?</t>
  </si>
  <si>
    <t>Bruto methode</t>
  </si>
  <si>
    <t>123/119</t>
  </si>
  <si>
    <t>Een aan de ex.partner betaalde woonvergoeding wordt gezien als kale huur</t>
  </si>
  <si>
    <t>123 (119)</t>
  </si>
  <si>
    <r>
      <t xml:space="preserve">Gaat hier om afspraken, gemaakt na de scheiding </t>
    </r>
    <r>
      <rPr>
        <b/>
        <u/>
        <sz val="11"/>
        <rFont val="Calibri"/>
        <family val="2"/>
        <scheme val="minor"/>
      </rPr>
      <t>en</t>
    </r>
    <r>
      <rPr>
        <sz val="11"/>
        <rFont val="Calibri"/>
        <family val="2"/>
        <scheme val="minor"/>
      </rPr>
      <t xml:space="preserve"> de verdeling van de eigen woning</t>
    </r>
  </si>
  <si>
    <t xml:space="preserve">      OEW: WOZ-waarde van de woning (50%)</t>
  </si>
  <si>
    <t>Totaal vermogen tbv KA</t>
  </si>
  <si>
    <t>Belastbaar Rendement tbv KA</t>
  </si>
  <si>
    <t>Totaal vermogen tbv PA</t>
  </si>
  <si>
    <t>Belastbaar Rendement t.b.v. PA</t>
  </si>
  <si>
    <r>
      <t xml:space="preserve">(transport) </t>
    </r>
    <r>
      <rPr>
        <b/>
        <u/>
        <sz val="11"/>
        <color theme="1"/>
        <rFont val="Calibri"/>
        <family val="2"/>
        <scheme val="minor"/>
      </rPr>
      <t>Post 85 wordt voor PA niet meer meegerekend per 01-01-23</t>
    </r>
  </si>
  <si>
    <t>Post 85</t>
  </si>
  <si>
    <t>Post 85 * Belastingtarief Schijf 1</t>
  </si>
  <si>
    <t>Ontvangt</t>
  </si>
  <si>
    <t>Betaald</t>
  </si>
  <si>
    <r>
      <t>Afgesproken verplichtingen</t>
    </r>
    <r>
      <rPr>
        <b/>
        <u/>
        <sz val="12"/>
        <color rgb="FFFF0000"/>
        <rFont val="Calibri"/>
        <family val="2"/>
        <scheme val="minor"/>
      </rPr>
      <t xml:space="preserve"> NA scheiding</t>
    </r>
    <r>
      <rPr>
        <b/>
        <u/>
        <sz val="12"/>
        <color theme="1"/>
        <rFont val="Calibri"/>
        <family val="2"/>
        <scheme val="minor"/>
      </rPr>
      <t xml:space="preserve"> en </t>
    </r>
    <r>
      <rPr>
        <b/>
        <u/>
        <sz val="12"/>
        <color rgb="FFFF0000"/>
        <rFont val="Calibri"/>
        <family val="2"/>
        <scheme val="minor"/>
      </rPr>
      <t>NA</t>
    </r>
    <r>
      <rPr>
        <b/>
        <u/>
        <sz val="12"/>
        <color theme="1"/>
        <rFont val="Calibri"/>
        <family val="2"/>
        <scheme val="minor"/>
      </rPr>
      <t xml:space="preserve"> verdeling Eigen Woning (VEW)</t>
    </r>
  </si>
  <si>
    <t>Onverdeeld Eigen woning</t>
  </si>
  <si>
    <t>VEW: Rente betaald voor ex. partner als partneralimentatie  (zie "Basisgegevens" bij 138)"</t>
  </si>
  <si>
    <t>- Kale huur (incl. noodzakelijke servicekosten)</t>
  </si>
  <si>
    <t>- Hypotheekrente</t>
  </si>
  <si>
    <r>
      <t xml:space="preserve">Eigen Woning berekening maken o.b.v. de </t>
    </r>
    <r>
      <rPr>
        <b/>
        <sz val="11"/>
        <color rgb="FFFF0000"/>
        <rFont val="Calibri"/>
        <family val="2"/>
        <scheme val="minor"/>
      </rPr>
      <t>Onverdeelde Eigen Woning</t>
    </r>
    <r>
      <rPr>
        <b/>
        <sz val="11"/>
        <rFont val="Calibri"/>
        <family val="2"/>
        <scheme val="minor"/>
      </rPr>
      <t>-module</t>
    </r>
    <r>
      <rPr>
        <b/>
        <sz val="11"/>
        <color theme="1"/>
        <rFont val="Calibri"/>
        <family val="2"/>
        <scheme val="minor"/>
      </rPr>
      <t>?</t>
    </r>
  </si>
  <si>
    <t>Tabblad "Woonlasten_afwijkend"</t>
  </si>
  <si>
    <r>
      <t xml:space="preserve">Deze </t>
    </r>
    <r>
      <rPr>
        <b/>
        <u/>
        <sz val="12"/>
        <color theme="1"/>
        <rFont val="Calibri"/>
        <family val="2"/>
        <scheme val="minor"/>
      </rPr>
      <t>gratis</t>
    </r>
    <r>
      <rPr>
        <sz val="12"/>
        <color theme="1"/>
        <rFont val="Calibri"/>
        <family val="2"/>
        <scheme val="minor"/>
      </rPr>
      <t xml:space="preserve"> Excel sheet is met zorg en zorgvuldigheid gemaakt en via proefberekeningen getoetst op juistheid van de verschillende berekeningen. Desondanks is het mogelijk dat er in deze Excel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 </t>
    </r>
  </si>
  <si>
    <t>Netto bijstandsuitkering</t>
  </si>
  <si>
    <t>Subtotaal woonlasten:</t>
  </si>
  <si>
    <t>AF</t>
  </si>
  <si>
    <t>De uitkomst zelf wegen en zonodig hierboven het correctiebedrag invullen.</t>
  </si>
  <si>
    <t>Onverdeelde eigen woning (OEW) voor 50%/50% eigendom van beiden</t>
  </si>
  <si>
    <r>
      <t xml:space="preserve">OEW: Afgesproken vergoeding voor gederfd woongenot </t>
    </r>
    <r>
      <rPr>
        <b/>
        <u/>
        <sz val="12"/>
        <color rgb="FFFF0000"/>
        <rFont val="Calibri"/>
        <family val="2"/>
        <scheme val="minor"/>
      </rPr>
      <t>(optioneel)</t>
    </r>
  </si>
  <si>
    <t>Als er met de verlater van de woning een woonvergoeding is afgesproken wegens gederfd woongenot (komt terug bij post 119 / 132)</t>
  </si>
  <si>
    <t>De door de verlater van de woning te ontvangen vergoeding voor gederfd woongenot (woonvergoeding)</t>
  </si>
  <si>
    <t>- Kale huur: Aan de verlater van de woning te betalen woonvergoeding</t>
  </si>
  <si>
    <t>51a</t>
  </si>
  <si>
    <t>Bruto arbeidsinkomen uit dienstbetrekking (1 en 2)</t>
  </si>
  <si>
    <t>Subtotaal arbeidsinkomsten uit post 41, 44 en 46 t/m 48:</t>
  </si>
  <si>
    <t>M.i.v. 01-01-2023 telt aftrekpost Eigen Woning niet meer mee bij PA/KA</t>
  </si>
  <si>
    <t>Beperking persoonlijke aftrekpost: Ondernemersaftrek en Persoonsgebonden aftrek bij de hoogste belastingschijf</t>
  </si>
  <si>
    <t>Dit te ontvangen KGB opvoeren bij Post 119a t.b.v. PA/KA?</t>
  </si>
  <si>
    <t>Netto inkomsten (per jaar)</t>
  </si>
  <si>
    <t>Vakantiebonnen (bouw)</t>
  </si>
  <si>
    <t>- Korting wegens een onredelijke woonlast</t>
  </si>
  <si>
    <t>Werkelijke woonlasten en ziektekosten</t>
  </si>
  <si>
    <t>Belasting incl. eigen woning (85)</t>
  </si>
  <si>
    <t xml:space="preserve"> Belasting incl. post 85 Eigen woning</t>
  </si>
  <si>
    <t>Incl. eigen woning (85)</t>
  </si>
  <si>
    <t>Geschoond incl. post 85 Eigen Woning</t>
  </si>
  <si>
    <t>Behoefteberekening</t>
  </si>
  <si>
    <t>Premies voor uitkering bij ziekte, ongeval of invaliditeit (aftrekbaar)
LET Op: Deze zijn al opgevoerd bij post 86/87, is hier altijd 0</t>
  </si>
  <si>
    <t>Zie onder Inkomensvoorzieningen post 86 en 87</t>
  </si>
  <si>
    <t>VEW: Ontvangen hypotheekrente als partneralimentatie</t>
  </si>
  <si>
    <t>Zie in tabblad "Alimentatie 20xx-xx" onder post 117 ZVW-premies</t>
  </si>
  <si>
    <t>41/57</t>
  </si>
  <si>
    <t>De berekende en nog af te dragen premies ZVW (zie 117a)</t>
  </si>
  <si>
    <t>Uitkeringen en verstrekkingen</t>
  </si>
  <si>
    <t>Persoonsgebonden aftrek</t>
  </si>
  <si>
    <t>Netto uitgaven (per jaar)</t>
  </si>
  <si>
    <t>Zie post 75</t>
  </si>
  <si>
    <t>Zie post 78</t>
  </si>
  <si>
    <t>Zie post 79a</t>
  </si>
  <si>
    <t>Zie post 81</t>
  </si>
  <si>
    <t>Zie post 117a</t>
  </si>
  <si>
    <r>
      <t xml:space="preserve">(Op aanslag betaalde) inkomensafhankelijke bijdrage ZVW, </t>
    </r>
    <r>
      <rPr>
        <sz val="11"/>
        <color rgb="FFFF0000"/>
        <rFont val="Calibri"/>
        <family val="2"/>
        <scheme val="minor"/>
      </rPr>
      <t>zie voor DGA bij 117a/119b</t>
    </r>
    <r>
      <rPr>
        <sz val="11"/>
        <color theme="1"/>
        <rFont val="Calibri"/>
        <family val="2"/>
        <scheme val="minor"/>
      </rPr>
      <t>!
(niet zijnde uit Post 42 WAO-uitkering)</t>
    </r>
  </si>
  <si>
    <r>
      <t>Nee = Standaard</t>
    </r>
    <r>
      <rPr>
        <sz val="11"/>
        <rFont val="Calibri"/>
        <family val="2"/>
        <scheme val="minor"/>
      </rPr>
      <t xml:space="preserve">, Ja </t>
    </r>
    <r>
      <rPr>
        <u/>
        <sz val="11"/>
        <rFont val="Calibri"/>
        <family val="2"/>
        <scheme val="minor"/>
      </rPr>
      <t>alleen bij goede, aantoonbare reden</t>
    </r>
  </si>
  <si>
    <t>Overige lasten:</t>
  </si>
  <si>
    <t>Totaal overige lasten:</t>
  </si>
  <si>
    <t>- Inkomensonafhankelijke combinatiekorting</t>
  </si>
  <si>
    <t>- Ouderenkorting</t>
  </si>
  <si>
    <t>- Alleenstaande ouderenkorting (AOW-ers)</t>
  </si>
  <si>
    <t>- Andere kortingen (Jonggehandicapten, Levensloopverlof, Groene beleggingen)</t>
  </si>
  <si>
    <t>Zelf betaalde inkomensafhankelijke bijdrage ZVW:</t>
  </si>
  <si>
    <t>Subtotaal zelf betaalde ZVW-premie:</t>
  </si>
  <si>
    <t>125-134</t>
  </si>
  <si>
    <t xml:space="preserve">Netto besteedbaar jaarinkomen (NBI) per jaar: </t>
  </si>
  <si>
    <t xml:space="preserve">Niet vermijdbare en aantoonbare extra lasten per maand (post 125 t/m 134): </t>
  </si>
  <si>
    <t xml:space="preserve">Totaal kosten kinderen per maand: </t>
  </si>
  <si>
    <t xml:space="preserve">Geschoond Nette Besteedbaar Inkomen (NBI) per maand: </t>
  </si>
  <si>
    <t xml:space="preserve">Netto besteedbaar inkomen incl. evt. partneralimentatie per maand: </t>
  </si>
  <si>
    <t xml:space="preserve">Netto besteedbaar inkomen voor vergelijking van de beide inkomens per maand: </t>
  </si>
  <si>
    <t>Bijdrage ZVW over de partneralimentatie volgens Jusberekening</t>
  </si>
  <si>
    <t>Totaal zelf af te dragen premie ZVW:</t>
  </si>
  <si>
    <t>Af te dragen premie ZVW over:</t>
  </si>
  <si>
    <t xml:space="preserve">Totaal inhoudingen / verplichtingen: </t>
  </si>
  <si>
    <t>Als het te ontvangen KGB is opgevoerd als kleine netto inkomen (post 119b): AF:</t>
  </si>
  <si>
    <t xml:space="preserve">Netto besteedbaar inkomen na partneralimentatie per maand: </t>
  </si>
  <si>
    <t xml:space="preserve">Netto besteedbaar inkomen na partneralimentatie per jaar:  </t>
  </si>
  <si>
    <t>Netto besteedbaar na alimentie</t>
  </si>
  <si>
    <t xml:space="preserve">Eerste indicatie van de verschuldigde / benodigde partneralimentatie: </t>
  </si>
  <si>
    <t xml:space="preserve">Correctie op de eerder berekende partneralimentatie: </t>
  </si>
  <si>
    <t xml:space="preserve">Gemiddeld netto jaarinkomen van elk (excl. de partneralimentatie): </t>
  </si>
  <si>
    <t xml:space="preserve">Eigen aandeel in de kosten van de kinderen (zie Kinderalimentatie berekening): </t>
  </si>
  <si>
    <t>Jus-/inkomensvergelijking (indicatie)</t>
  </si>
  <si>
    <t>Jus-/inkomensvergelijking (gedetaileerd)</t>
  </si>
  <si>
    <t xml:space="preserve">Werkelijk verschuldigde / benodigde partneralimentatie: </t>
  </si>
  <si>
    <t>Te betalen partneralimentatie volgens jusvergelijking</t>
  </si>
  <si>
    <t>Netto Besteedbaar gezinsinkomen ten tijde van de relatie:</t>
  </si>
  <si>
    <t>Einde</t>
  </si>
  <si>
    <r>
      <t xml:space="preserve">Als de uitkomsten van de alimentatieberekening kloppen moet in het tabblad "Jusvergelijking" de "Vrije ruimte" van de beide partners nog in evenwicht worden gebracht. Dit door in cel </t>
    </r>
    <r>
      <rPr>
        <b/>
        <u/>
        <sz val="11"/>
        <color theme="1"/>
        <rFont val="Calibri"/>
        <family val="2"/>
        <scheme val="minor"/>
      </rPr>
      <t>J30</t>
    </r>
    <r>
      <rPr>
        <sz val="11"/>
        <color theme="1"/>
        <rFont val="Calibri"/>
        <family val="2"/>
        <scheme val="minor"/>
      </rPr>
      <t xml:space="preserve"> een zodanig alimentatiebedrag in te vullen dat de "Vrije ruimte" in evenwicht is. Een voorzet voor het </t>
    </r>
    <r>
      <rPr>
        <u/>
        <sz val="11"/>
        <color theme="1"/>
        <rFont val="Calibri"/>
        <family val="2"/>
        <scheme val="minor"/>
      </rPr>
      <t>(start)bedrag</t>
    </r>
    <r>
      <rPr>
        <b/>
        <u/>
        <sz val="11"/>
        <color theme="1"/>
        <rFont val="Calibri"/>
        <family val="2"/>
        <scheme val="minor"/>
      </rPr>
      <t xml:space="preserve"> staat in </t>
    </r>
    <r>
      <rPr>
        <u/>
        <sz val="11"/>
        <color theme="1"/>
        <rFont val="Calibri"/>
        <family val="2"/>
        <scheme val="minor"/>
      </rPr>
      <t>cel L41</t>
    </r>
    <r>
      <rPr>
        <b/>
        <u/>
        <sz val="11"/>
        <color theme="1"/>
        <rFont val="Calibri"/>
        <family val="2"/>
        <scheme val="minor"/>
      </rPr>
      <t xml:space="preserve">. </t>
    </r>
  </si>
  <si>
    <r>
      <t>- In het tabblad "</t>
    </r>
    <r>
      <rPr>
        <i/>
        <sz val="11"/>
        <color theme="1"/>
        <rFont val="Calibri"/>
        <family val="2"/>
        <scheme val="minor"/>
      </rPr>
      <t>Kinderalimentatie</t>
    </r>
    <r>
      <rPr>
        <sz val="11"/>
        <color theme="1"/>
        <rFont val="Calibri"/>
        <family val="2"/>
        <scheme val="minor"/>
      </rPr>
      <t>" staan de details van de kinderalimentatie berekening.</t>
    </r>
  </si>
  <si>
    <r>
      <t>- In het tabblad "</t>
    </r>
    <r>
      <rPr>
        <i/>
        <sz val="11"/>
        <color theme="1"/>
        <rFont val="Calibri"/>
        <family val="2"/>
        <scheme val="minor"/>
      </rPr>
      <t>Wijzigingen &amp; To Do's</t>
    </r>
    <r>
      <rPr>
        <sz val="11"/>
        <color theme="1"/>
        <rFont val="Calibri"/>
        <family val="2"/>
        <scheme val="minor"/>
      </rPr>
      <t>" staan de gedane aanpassingen en/of de openstaande punten.</t>
    </r>
  </si>
  <si>
    <r>
      <t>- In het tabblad "</t>
    </r>
    <r>
      <rPr>
        <i/>
        <sz val="11"/>
        <color theme="1"/>
        <rFont val="Calibri"/>
        <family val="2"/>
        <scheme val="minor"/>
      </rPr>
      <t>Keuzelijsten</t>
    </r>
    <r>
      <rPr>
        <sz val="11"/>
        <color theme="1"/>
        <rFont val="Calibri"/>
        <family val="2"/>
        <scheme val="minor"/>
      </rPr>
      <t>" staan de tabellen met de gegevens voor de keuzelijsten in deze Excel sheet.</t>
    </r>
  </si>
  <si>
    <r>
      <t xml:space="preserve">In deze Excel wordt uitgegaan van een werkende die in een "standaard"-scheiding zit. Speciale zaken zoals de invloed van samengestelde gezinnen is hier </t>
    </r>
    <r>
      <rPr>
        <u/>
        <sz val="11"/>
        <color theme="1"/>
        <rFont val="Calibri"/>
        <family val="2"/>
        <scheme val="minor"/>
      </rPr>
      <t>NIET</t>
    </r>
    <r>
      <rPr>
        <sz val="11"/>
        <color theme="1"/>
        <rFont val="Calibri"/>
        <family val="2"/>
        <scheme val="minor"/>
      </rPr>
      <t xml:space="preserve"> in opgenomen. Dit gezien de complexiteit en diversiteit hierin. Vaak is in zo'n situatie ook een deskundige vereist.</t>
    </r>
  </si>
  <si>
    <t>Reële, noodzakelijke kosten, gemaakt om het inkomen te verwerven. Reiskosten OV of € 0,18/km. Eventueel ook de aflossing van een hiervoor aangegane lening.</t>
  </si>
  <si>
    <t>Betaalde hypotheekaflossing premie levensverzekering per maand</t>
  </si>
  <si>
    <t>De af te dragen ZVW-premie wordt berekend bij post 117a</t>
  </si>
  <si>
    <t>Bestaat uit de waarde uit de posten onder 102 op de peildatum van 1 januari.</t>
  </si>
  <si>
    <t>Berekening Eigen aandeel ouders conform NIBUD tabel</t>
  </si>
  <si>
    <t>- Netto fiscaal voordeel uit Post 85: Eigen Woning (en bij OEW  83a en 123)</t>
  </si>
  <si>
    <t>Kale huur per maand</t>
  </si>
  <si>
    <t>Maandelijkse huurkosten en Huurtoeslag</t>
  </si>
  <si>
    <t>Betreft het extra eigen risico dat bovenop het wettelijke eigen risico is gekozen</t>
  </si>
  <si>
    <t>Huurgrens voor huursubsidie (maandbedrag)</t>
  </si>
  <si>
    <r>
      <t>Huurtoeslag</t>
    </r>
    <r>
      <rPr>
        <sz val="11"/>
        <rFont val="Calibri"/>
        <family val="2"/>
        <scheme val="minor"/>
      </rPr>
      <t xml:space="preserve"> per maand </t>
    </r>
    <r>
      <rPr>
        <b/>
        <sz val="11"/>
        <color rgb="FFFF0000"/>
        <rFont val="Calibri"/>
        <family val="2"/>
        <scheme val="minor"/>
      </rPr>
      <t>(BEREKEN DEZE ONLINE)</t>
    </r>
  </si>
  <si>
    <t>Alimentatieplichtige heeft de AOW leeftijd bereikt?</t>
  </si>
  <si>
    <t>Ja/Nee wordt bepaald o.b.v. de ingevulde pensioendatum &amp; ingevulde berekeningsdatum (cel C13)</t>
  </si>
  <si>
    <r>
      <t xml:space="preserve">  </t>
    </r>
    <r>
      <rPr>
        <b/>
        <u/>
        <sz val="11"/>
        <color theme="1"/>
        <rFont val="Calibri"/>
        <family val="2"/>
        <scheme val="minor"/>
      </rPr>
      <t>LET OP:</t>
    </r>
    <r>
      <rPr>
        <sz val="11"/>
        <color theme="1"/>
        <rFont val="Calibri"/>
        <family val="2"/>
        <scheme val="minor"/>
      </rPr>
      <t xml:space="preserve"> Betreft het een </t>
    </r>
    <r>
      <rPr>
        <b/>
        <u/>
        <sz val="11"/>
        <color theme="1"/>
        <rFont val="Calibri"/>
        <family val="2"/>
        <scheme val="minor"/>
      </rPr>
      <t>aflossingsvrije</t>
    </r>
    <r>
      <rPr>
        <sz val="11"/>
        <color theme="1"/>
        <rFont val="Calibri"/>
        <family val="2"/>
        <scheme val="minor"/>
      </rPr>
      <t xml:space="preserve"> hypotheek die na </t>
    </r>
    <r>
      <rPr>
        <b/>
        <u/>
        <sz val="11"/>
        <color theme="1"/>
        <rFont val="Calibri"/>
        <family val="2"/>
        <scheme val="minor"/>
      </rPr>
      <t>01-01-2013</t>
    </r>
    <r>
      <rPr>
        <sz val="11"/>
        <color theme="1"/>
        <rFont val="Calibri"/>
        <family val="2"/>
        <scheme val="minor"/>
      </rPr>
      <t xml:space="preserve"> is afgesloten? </t>
    </r>
  </si>
  <si>
    <r>
      <t xml:space="preserve">Bij een aflossingsvrije hypotheek die is afgesloten na </t>
    </r>
    <r>
      <rPr>
        <b/>
        <u/>
        <sz val="11"/>
        <rFont val="Calibri"/>
        <family val="2"/>
        <scheme val="minor"/>
      </rPr>
      <t>01-01-2013</t>
    </r>
    <r>
      <rPr>
        <sz val="11"/>
        <rFont val="Calibri"/>
        <family val="2"/>
        <scheme val="minor"/>
      </rPr>
      <t xml:space="preserve"> is er geen recht meer op renteaftrek (dus is er ook geen Netto fiscaal voordeel uit post 85)</t>
    </r>
  </si>
  <si>
    <t>Zie hiervoor de site van de belastingdienst onder "Voorwaarden aftrek zorgkosten"</t>
  </si>
  <si>
    <r>
      <t xml:space="preserve">Overige zelf betaalde, niet vergoede zorgkosten </t>
    </r>
    <r>
      <rPr>
        <b/>
        <u/>
        <sz val="11"/>
        <color theme="1"/>
        <rFont val="Calibri"/>
        <family val="2"/>
        <scheme val="minor"/>
      </rPr>
      <t>per maand</t>
    </r>
  </si>
  <si>
    <r>
      <t xml:space="preserve">Vrijwillig Eigen Risico (indien gerealiseerd) </t>
    </r>
    <r>
      <rPr>
        <b/>
        <u/>
        <sz val="11"/>
        <color theme="1"/>
        <rFont val="Calibri"/>
        <family val="2"/>
        <scheme val="minor"/>
      </rPr>
      <t>per maand</t>
    </r>
  </si>
  <si>
    <r>
      <t xml:space="preserve">Nominale premie ZVW </t>
    </r>
    <r>
      <rPr>
        <b/>
        <u/>
        <sz val="11"/>
        <color theme="1"/>
        <rFont val="Calibri"/>
        <family val="2"/>
        <scheme val="minor"/>
      </rPr>
      <t>per maand</t>
    </r>
  </si>
  <si>
    <r>
      <t xml:space="preserve">Premie aanvullende ZKV </t>
    </r>
    <r>
      <rPr>
        <b/>
        <u/>
        <sz val="11"/>
        <color theme="1"/>
        <rFont val="Calibri"/>
        <family val="2"/>
        <scheme val="minor"/>
      </rPr>
      <t>per maand</t>
    </r>
  </si>
  <si>
    <t>Situatie 5</t>
  </si>
  <si>
    <r>
      <rPr>
        <b/>
        <u/>
        <sz val="11"/>
        <color theme="1"/>
        <rFont val="Calibri"/>
        <family val="2"/>
        <scheme val="minor"/>
      </rPr>
      <t xml:space="preserve">LET OP: </t>
    </r>
    <r>
      <rPr>
        <sz val="11"/>
        <color theme="1"/>
        <rFont val="Calibri"/>
        <family val="2"/>
        <scheme val="minor"/>
      </rPr>
      <t xml:space="preserve">Is er </t>
    </r>
    <r>
      <rPr>
        <b/>
        <u/>
        <sz val="11"/>
        <color theme="1"/>
        <rFont val="Calibri"/>
        <family val="2"/>
        <scheme val="minor"/>
      </rPr>
      <t>bij de scheiding</t>
    </r>
    <r>
      <rPr>
        <sz val="11"/>
        <color theme="1"/>
        <rFont val="Calibri"/>
        <family val="2"/>
        <scheme val="minor"/>
      </rPr>
      <t xml:space="preserve"> sprake van een </t>
    </r>
    <r>
      <rPr>
        <b/>
        <u/>
        <sz val="11"/>
        <color theme="1"/>
        <rFont val="Calibri"/>
        <family val="2"/>
        <scheme val="minor"/>
      </rPr>
      <t>Onverdeelde Eigen Woning</t>
    </r>
    <r>
      <rPr>
        <sz val="11"/>
        <color theme="1"/>
        <rFont val="Calibri"/>
        <family val="2"/>
        <scheme val="minor"/>
      </rPr>
      <t xml:space="preserve"> (OEW) en wil je hiervoor de rekenmodule hiernaast (rechts) gebruiken? 
1) Vul dan in cel D162 eerst "</t>
    </r>
    <r>
      <rPr>
        <i/>
        <sz val="11"/>
        <color theme="1"/>
        <rFont val="Calibri"/>
        <family val="2"/>
        <scheme val="minor"/>
      </rPr>
      <t>Ja</t>
    </r>
    <r>
      <rPr>
        <sz val="11"/>
        <color theme="1"/>
        <rFont val="Calibri"/>
        <family val="2"/>
        <scheme val="minor"/>
      </rPr>
      <t>" in
2) Vul vervolgens in de</t>
    </r>
    <r>
      <rPr>
        <sz val="11"/>
        <color rgb="FF00B0F0"/>
        <rFont val="Calibri"/>
        <family val="2"/>
        <scheme val="minor"/>
      </rPr>
      <t xml:space="preserve"> </t>
    </r>
    <r>
      <rPr>
        <b/>
        <sz val="11"/>
        <color rgb="FF00B0F0"/>
        <rFont val="Calibri"/>
        <family val="2"/>
        <scheme val="minor"/>
      </rPr>
      <t>blauwe velden</t>
    </r>
    <r>
      <rPr>
        <sz val="11"/>
        <color theme="1"/>
        <rFont val="Calibri"/>
        <family val="2"/>
        <scheme val="minor"/>
      </rPr>
      <t xml:space="preserve"> onder "Onverdeelde Eigen Woning (OEW)" de gegevens in.
</t>
    </r>
    <r>
      <rPr>
        <sz val="5"/>
        <color theme="1"/>
        <rFont val="Calibri"/>
        <family val="2"/>
        <scheme val="minor"/>
      </rPr>
      <t xml:space="preserve">
</t>
    </r>
    <r>
      <rPr>
        <sz val="11"/>
        <color theme="1"/>
        <rFont val="Calibri"/>
        <family val="2"/>
        <scheme val="minor"/>
      </rPr>
      <t>Hierop zullen de bedragen uit de cellen P179 t/m Q191 worden gebruikt i.p.v. de posten 82 (E169/E171) en 83 (G169/E169)</t>
    </r>
  </si>
  <si>
    <t>In bijstandsnorm begrepen nominaal deel premie ZVW</t>
  </si>
  <si>
    <t xml:space="preserve">Post 51a: Netto uitgaven pensioenvoorziening (vrijgesteld in box III) </t>
  </si>
  <si>
    <t>Belaste gratificaties, tantièmes, eindejaarsuitkering</t>
  </si>
  <si>
    <t>Afwijken winst uit onderneming</t>
  </si>
  <si>
    <t>Fiscale oudedagsreserve</t>
  </si>
  <si>
    <t>O.a. ontvangen alimentatie, termijnen lijfrente, pensioensverrekenings-/vereveningsuitkeringen, uitkeringen uit vrijwillige AOW/ANW verzekering</t>
  </si>
  <si>
    <r>
      <t xml:space="preserve">VEW: De </t>
    </r>
    <r>
      <rPr>
        <b/>
        <u/>
        <sz val="11"/>
        <color theme="1"/>
        <rFont val="Calibri"/>
        <family val="2"/>
        <scheme val="minor"/>
      </rPr>
      <t>na scheiding</t>
    </r>
    <r>
      <rPr>
        <sz val="11"/>
        <color theme="1"/>
        <rFont val="Calibri"/>
        <family val="2"/>
        <scheme val="minor"/>
      </rPr>
      <t xml:space="preserve"> door de ex-partner betaalde hypotheeklasten als partneralimentatie  (zie "Basisgegevens" onder 138)</t>
    </r>
  </si>
  <si>
    <t>Geldt alleen bij een Overdeelde Eigen Woning (OEW)</t>
  </si>
  <si>
    <t>Belastbare inkomsten uit eigen woning:</t>
  </si>
  <si>
    <t>Reguliere voordelen (met name dividend)</t>
  </si>
  <si>
    <r>
      <t xml:space="preserve">Persoonsgebonden aftrek </t>
    </r>
    <r>
      <rPr>
        <i/>
        <sz val="11"/>
        <color rgb="FFFF0000"/>
        <rFont val="Calibri"/>
        <family val="2"/>
        <scheme val="minor"/>
      </rPr>
      <t>(het niet in BOX I of III benutte deel)</t>
    </r>
  </si>
  <si>
    <t>Vul in bij partner 1 de alimentatieplichtige (AP) in en bij partner 2 de alimentatiegerechtigde (AG)</t>
  </si>
  <si>
    <r>
      <t xml:space="preserve">Alleen bij een </t>
    </r>
    <r>
      <rPr>
        <b/>
        <sz val="11"/>
        <color rgb="FFFF0000"/>
        <rFont val="Calibri"/>
        <family val="2"/>
        <scheme val="minor"/>
      </rPr>
      <t>herberekening</t>
    </r>
    <r>
      <rPr>
        <b/>
        <sz val="11"/>
        <rFont val="Calibri"/>
        <family val="2"/>
        <scheme val="minor"/>
      </rPr>
      <t>: G</t>
    </r>
    <r>
      <rPr>
        <sz val="11"/>
        <color theme="1"/>
        <rFont val="Calibri"/>
        <family val="2"/>
        <scheme val="minor"/>
      </rPr>
      <t>aat hier om het</t>
    </r>
    <r>
      <rPr>
        <b/>
        <u/>
        <sz val="11"/>
        <color theme="1"/>
        <rFont val="Calibri"/>
        <family val="2"/>
        <scheme val="minor"/>
      </rPr>
      <t xml:space="preserve"> jaar waarin de officiële scheiding</t>
    </r>
    <r>
      <rPr>
        <sz val="11"/>
        <color theme="1"/>
        <rFont val="Calibri"/>
        <family val="2"/>
        <scheme val="minor"/>
      </rPr>
      <t xml:space="preserve"> is uitgesproken invullen</t>
    </r>
  </si>
  <si>
    <t>Loon volgens jaaropgave werkgever 1 (= dienstbetrekking)</t>
  </si>
  <si>
    <t>Loon volgens jaaropgave werkgever 2 (= dienstbetrekking)</t>
  </si>
  <si>
    <t>U krijgt de alleenstaande ouderenkorting als u:</t>
  </si>
  <si>
    <t>Dit is het totaal van dienstbetrekking 1 en 2 opgeteld</t>
  </si>
  <si>
    <t>Arbeidskorting (Werkend)</t>
  </si>
  <si>
    <t>(= excl. alimentatie eerdere partner)</t>
  </si>
  <si>
    <t>Vakantietoeslag (wordt jaarlijks vastgesteld)</t>
  </si>
  <si>
    <t>Arbeidskorting (AOW)</t>
  </si>
  <si>
    <t>(= t.b.v. evt. ZKV bijdrage)</t>
  </si>
  <si>
    <r>
      <t xml:space="preserve">Eigen Woning Forfait aandeel in  </t>
    </r>
    <r>
      <rPr>
        <b/>
        <u/>
        <sz val="11"/>
        <color theme="1"/>
        <rFont val="Calibri"/>
        <family val="2"/>
        <scheme val="minor"/>
      </rPr>
      <t>box 3</t>
    </r>
  </si>
  <si>
    <t>Beleggingen/andere bezittingen incl. OEW</t>
  </si>
  <si>
    <t>Minimale forfaitaire woonlast</t>
  </si>
  <si>
    <t>Berekende NBI tbv.Kinderalimentatie is:</t>
  </si>
  <si>
    <t>Forfaitair bedrag</t>
  </si>
  <si>
    <t>Deze wordt automatisch invult als er sprake is van een eigen woning !</t>
  </si>
  <si>
    <t>De gemiddelde basishuur wordt jaarlijks vastgesteld</t>
  </si>
  <si>
    <t>Zie de basispremie op de polis van de ziektekostenverzekering</t>
  </si>
  <si>
    <t>Zie de aanvullende premie(s) op de polis van de ziektekostenverzekering</t>
  </si>
  <si>
    <t>Gezamenlijk arbeidsinkomen t.b.v. KGB berekening:</t>
  </si>
  <si>
    <t>Omrekening Bruto naar Netto alimentatie voor:</t>
  </si>
  <si>
    <t>Tabblad "Basisgegevens"</t>
  </si>
  <si>
    <r>
      <t xml:space="preserve">- Bijtelling auto van de zaak.
- Inkomsten volgens jaaropgave(s) (60) &amp; correctie evt. invloed auto van de zaak
- Inkomsten uit Arbeid (41, 44, 46 - 48). (Bij 41 kan het loon van 1 of 2 werkgevers worden ingevuld)
- Bruto arbeidsinkomen bouw (bij vakantiebonnen) (45).
- (Extra) betaalde premies / Inkomensvoorziening (49 - 58).
- Bruto AOW-uitkering (42).
- Bruto uitkering sociale verzekeringswetten (43)
- Bruto Pensioen uitkering (50).
- Ondernemersaftrekposten (71 - 73).
- Eigen woningbezit (82 - 84) (evt. 1x woning AP en 1x AG apart)  </t>
    </r>
    <r>
      <rPr>
        <sz val="11"/>
        <color rgb="FFFF0000"/>
        <rFont val="Calibri"/>
        <family val="2"/>
        <scheme val="minor"/>
      </rPr>
      <t>(telt m.i.v. 01-01-2023 niet meer mee voor bepalen partneralimentatie)</t>
    </r>
    <r>
      <rPr>
        <sz val="11"/>
        <color theme="1"/>
        <rFont val="Calibri"/>
        <family val="2"/>
        <scheme val="minor"/>
      </rPr>
      <t xml:space="preserve">.
  incl. optioneel de: Onverdeeld Eigen Woning-module
- </t>
    </r>
    <r>
      <rPr>
        <b/>
        <sz val="11"/>
        <color theme="1"/>
        <rFont val="Calibri"/>
        <family val="2"/>
        <scheme val="minor"/>
      </rPr>
      <t>Na scheiding</t>
    </r>
    <r>
      <rPr>
        <sz val="11"/>
        <color theme="1"/>
        <rFont val="Calibri"/>
        <family val="2"/>
        <scheme val="minor"/>
      </rPr>
      <t xml:space="preserve"> betalen van rente en/of aflossing aan de ex-partner
- Bijstandsuitkering (119a)
- Forfaitaire bedragen (123).
- Huurkosten en Huurtoeslag        </t>
    </r>
    <r>
      <rPr>
        <sz val="8"/>
        <color theme="1"/>
        <rFont val="Calibri"/>
        <family val="2"/>
        <scheme val="minor"/>
      </rPr>
      <t xml:space="preserve"> </t>
    </r>
    <r>
      <rPr>
        <sz val="11"/>
        <color rgb="FFFF0000"/>
        <rFont val="Calibri"/>
        <family val="2"/>
        <scheme val="minor"/>
      </rPr>
      <t>(telt m.i.v. 01-01-2023 niet meer mee voor bepalen partneralimentatie)</t>
    </r>
    <r>
      <rPr>
        <sz val="11"/>
        <color theme="1"/>
        <rFont val="Calibri"/>
        <family val="2"/>
        <scheme val="minor"/>
      </rPr>
      <t xml:space="preserve">.
- Ziektekosten(verzekering) (124)  </t>
    </r>
    <r>
      <rPr>
        <sz val="11"/>
        <color rgb="FFFF0000"/>
        <rFont val="Calibri"/>
        <family val="2"/>
        <scheme val="minor"/>
      </rPr>
      <t>(telt m.i.v. 01-01-2023 niet meer mee voor bepalen partneralimentatie)</t>
    </r>
    <r>
      <rPr>
        <sz val="11"/>
        <color theme="1"/>
        <rFont val="Calibri"/>
        <family val="2"/>
        <scheme val="minor"/>
      </rPr>
      <t>.
- Kindgebonden budget (voor en/of na de scheiding)
- Gegevens kinderen (Naam, geboortedatum, verzorgende ouder, behoefte/studie(kosten) etc..</t>
    </r>
  </si>
  <si>
    <t>- Alleenstaande ouderenkorting (115) (Ja/Nee) (regel 57)
- Inkomensafhankelijke Combinatiekorting (Werkende / AOW-ers) (115) (Ja/Nee) (regel 73)
- Onverdeelde Eigen Woning (OEW) vanaf regel 165 (indien geactiveerd met Ja in cel D164)</t>
  </si>
  <si>
    <r>
      <t xml:space="preserve">Loop, na het invullen van de </t>
    </r>
    <r>
      <rPr>
        <b/>
        <u/>
        <sz val="11"/>
        <color rgb="FF00B0F0"/>
        <rFont val="Calibri"/>
        <family val="2"/>
        <scheme val="minor"/>
      </rPr>
      <t>BLAUWE VELDEN</t>
    </r>
    <r>
      <rPr>
        <sz val="11"/>
        <color theme="1"/>
        <rFont val="Calibri"/>
        <family val="2"/>
        <scheme val="minor"/>
      </rPr>
      <t xml:space="preserve"> in het tabblad "</t>
    </r>
    <r>
      <rPr>
        <i/>
        <sz val="11"/>
        <color theme="1"/>
        <rFont val="Calibri"/>
        <family val="2"/>
        <scheme val="minor"/>
      </rPr>
      <t>Basisgegevens</t>
    </r>
    <r>
      <rPr>
        <sz val="11"/>
        <color theme="1"/>
        <rFont val="Calibri"/>
        <family val="2"/>
        <scheme val="minor"/>
      </rPr>
      <t xml:space="preserve">" langs de - minder vaak voorkomende </t>
    </r>
    <r>
      <rPr>
        <b/>
        <u/>
        <sz val="11"/>
        <color rgb="FF00B0F0"/>
        <rFont val="Calibri"/>
        <family val="2"/>
        <scheme val="minor"/>
      </rPr>
      <t>LICHT BLAUWE</t>
    </r>
    <r>
      <rPr>
        <sz val="11"/>
        <color theme="1"/>
        <rFont val="Calibri"/>
        <family val="2"/>
        <scheme val="minor"/>
      </rPr>
      <t xml:space="preserve"> velden in het tabblad "</t>
    </r>
    <r>
      <rPr>
        <i/>
        <sz val="11"/>
        <color theme="1"/>
        <rFont val="Calibri"/>
        <family val="2"/>
        <scheme val="minor"/>
      </rPr>
      <t>Alimentatie 20xx-xx</t>
    </r>
    <r>
      <rPr>
        <sz val="11"/>
        <color theme="1"/>
        <rFont val="Calibri"/>
        <family val="2"/>
        <scheme val="minor"/>
      </rPr>
      <t>"en vul in de van toepassing zijnde velden de juiste gegevens in (soms is er vooraf rekenwerk nodig)</t>
    </r>
  </si>
  <si>
    <r>
      <t xml:space="preserve">Voor zowel berekeningen die al </t>
    </r>
    <r>
      <rPr>
        <b/>
        <u/>
        <sz val="11"/>
        <color theme="1"/>
        <rFont val="Calibri"/>
        <family val="2"/>
        <scheme val="minor"/>
      </rPr>
      <t>voor 01-01-2023</t>
    </r>
    <r>
      <rPr>
        <sz val="11"/>
        <color theme="1"/>
        <rFont val="Calibri"/>
        <family val="2"/>
        <scheme val="minor"/>
      </rPr>
      <t xml:space="preserve"> in behandeling waren als woonlasten aantoonbaar hoger zijn maar wel reëel </t>
    </r>
    <r>
      <rPr>
        <b/>
        <u/>
        <sz val="11"/>
        <color theme="1"/>
        <rFont val="Calibri"/>
        <family val="2"/>
        <scheme val="minor"/>
      </rPr>
      <t>mag (</t>
    </r>
    <r>
      <rPr>
        <sz val="11"/>
        <color theme="1"/>
        <rFont val="Calibri"/>
        <family val="2"/>
        <scheme val="minor"/>
      </rPr>
      <t xml:space="preserve">nog) worden gerekend </t>
    </r>
    <r>
      <rPr>
        <b/>
        <u/>
        <sz val="11"/>
        <color theme="1"/>
        <rFont val="Calibri"/>
        <family val="2"/>
        <scheme val="minor"/>
      </rPr>
      <t>met de oude situatie</t>
    </r>
    <r>
      <rPr>
        <sz val="11"/>
        <color theme="1"/>
        <rFont val="Calibri"/>
        <family val="2"/>
        <scheme val="minor"/>
      </rPr>
      <t xml:space="preserve"> waarin de werkelijke woonlasten/ziektekosten (post 124 t/m 133) bepalend waren </t>
    </r>
  </si>
  <si>
    <r>
      <t xml:space="preserve">Hiervoor is het tabblad "Woonlasten_afwijkend" toegevoegd, deze bevat de post 124 t/m 133 nog wel! 
- De benodigde woon-/ziektekosten kunnen in het tabblad "Basisgegevens" worden ingevuld. 
- De specifieke bedragen t.a.v. de posten 125 t/m 133 moeten echter in dit tabblad worden ingevuld. 
Dit kan weer in de bekende </t>
    </r>
    <r>
      <rPr>
        <b/>
        <sz val="11"/>
        <color rgb="FF00B0F0"/>
        <rFont val="Calibri"/>
        <family val="2"/>
        <scheme val="minor"/>
      </rPr>
      <t>LICHT BLAUWE VELDEN</t>
    </r>
    <r>
      <rPr>
        <sz val="11"/>
        <rFont val="Calibri"/>
        <family val="2"/>
        <scheme val="minor"/>
      </rPr>
      <t xml:space="preserve"> (zie vanaf regel 243)</t>
    </r>
  </si>
  <si>
    <r>
      <t xml:space="preserve">Per </t>
    </r>
    <r>
      <rPr>
        <b/>
        <u/>
        <sz val="11"/>
        <rFont val="Calibri"/>
        <family val="2"/>
        <scheme val="minor"/>
      </rPr>
      <t>01-01-2023</t>
    </r>
    <r>
      <rPr>
        <sz val="11"/>
        <rFont val="Calibri"/>
        <family val="2"/>
        <scheme val="minor"/>
      </rPr>
      <t xml:space="preserve"> geldt er een andere berekeningswijze voor de JUS-vergelijking. Er wordt nu gekeken of de berekende alimentatie wel redelijk is t.o.v. het gemiddelde Netto Besteedbaar Inkomens (post 120). Hierin wordt het eigen aandeel in de kosten van de kinderen minus een eventueel KGB eerst verrekend, waarop de JUS-vergelijking wordt gemaakt. </t>
    </r>
  </si>
  <si>
    <r>
      <t xml:space="preserve">Is alles helder en oké? Dan wel de dringende aanbeveling om - zeker t.a.v. rechtbankstukken - een </t>
    </r>
    <r>
      <rPr>
        <b/>
        <u/>
        <sz val="14"/>
        <color theme="1"/>
        <rFont val="Calibri"/>
        <family val="2"/>
        <scheme val="minor"/>
      </rPr>
      <t>officiële berekening</t>
    </r>
    <r>
      <rPr>
        <sz val="14"/>
        <color theme="1"/>
        <rFont val="Calibri"/>
        <family val="2"/>
        <scheme val="minor"/>
      </rPr>
      <t xml:space="preserve"> te (laten) maken. 
De mogelijkheden hiervoor tegen </t>
    </r>
    <r>
      <rPr>
        <b/>
        <u/>
        <sz val="14"/>
        <color theme="1"/>
        <rFont val="Calibri"/>
        <family val="2"/>
        <scheme val="minor"/>
      </rPr>
      <t>relatief geringe kosten</t>
    </r>
    <r>
      <rPr>
        <sz val="14"/>
        <color theme="1"/>
        <rFont val="Calibri"/>
        <family val="2"/>
        <scheme val="minor"/>
      </rPr>
      <t xml:space="preserve"> (onder de </t>
    </r>
    <r>
      <rPr>
        <sz val="14"/>
        <color theme="1"/>
        <rFont val="Calibri"/>
        <family val="2"/>
      </rPr>
      <t xml:space="preserve">€ 100,-) </t>
    </r>
    <r>
      <rPr>
        <sz val="14"/>
        <color theme="1"/>
        <rFont val="Calibri"/>
        <family val="2"/>
        <scheme val="minor"/>
      </rPr>
      <t xml:space="preserve">vind je op: </t>
    </r>
    <r>
      <rPr>
        <sz val="14"/>
        <color rgb="FF0070C0"/>
        <rFont val="Calibri"/>
        <family val="2"/>
        <scheme val="minor"/>
      </rPr>
      <t>https://www.levennascheiding.nl</t>
    </r>
    <r>
      <rPr>
        <sz val="14"/>
        <color theme="1"/>
        <rFont val="Calibri"/>
        <family val="2"/>
        <scheme val="minor"/>
      </rPr>
      <t xml:space="preserve">  </t>
    </r>
  </si>
  <si>
    <r>
      <rPr>
        <b/>
        <sz val="11"/>
        <rFont val="Calibri"/>
        <family val="2"/>
        <scheme val="minor"/>
      </rPr>
      <t>(Post 99 telt NIET mee voor het drempelinkomen !!!)</t>
    </r>
    <r>
      <rPr>
        <sz val="11"/>
        <rFont val="Calibri"/>
        <family val="2"/>
        <scheme val="minor"/>
      </rPr>
      <t xml:space="preserve">
Als de inkomsten in box I en box III te laag zijn voor het verrekenen van een persoonsgebonden aftrek, kan de aftrek hier verrekend worden. Dit kan nooit leiden tot een negatief bedrag, in dat geval de rest doorschuiven naar het volgende jaar.</t>
    </r>
  </si>
  <si>
    <r>
      <rPr>
        <b/>
        <sz val="11"/>
        <rFont val="Calibri"/>
        <family val="2"/>
        <scheme val="minor"/>
      </rPr>
      <t>(Post 110 telt NIET mee voor het drempelinkomen !!!)</t>
    </r>
    <r>
      <rPr>
        <sz val="11"/>
        <rFont val="Calibri"/>
        <family val="2"/>
        <scheme val="minor"/>
      </rPr>
      <t xml:space="preserve">
Als de persoonsgebonden aftrek in box 1 niet volledig verrekend kan worden kan de rest ervan in box III worden verrekend. Maar nooit verder dan tot 0. Een eventueel restbedrag kan nog in box 2 worden verrekend of anders pas in een volgend jaar.</t>
    </r>
  </si>
  <si>
    <t>42/57</t>
  </si>
  <si>
    <t>50/57</t>
  </si>
  <si>
    <t>Ink.afhankelijke bijdrage premie ZVW al betaald bij post 42 AOW</t>
  </si>
  <si>
    <t>Ink.afhankelijke bijdrage premie ZVW al betaald bij post 50 Pensioen</t>
  </si>
  <si>
    <t>Ink.afhankelijke bijdrage premie ZVW al betaald bij post 41 Looninkomsten</t>
  </si>
  <si>
    <t>Te ontvangen Basis (MBO) en
aanvullende beurs</t>
  </si>
  <si>
    <r>
      <t xml:space="preserve">Eigen </t>
    </r>
    <r>
      <rPr>
        <b/>
        <u/>
        <sz val="10.5"/>
        <color theme="1"/>
        <rFont val="Calibri"/>
        <family val="2"/>
        <scheme val="minor"/>
      </rPr>
      <t>structurele NETTO</t>
    </r>
    <r>
      <rPr>
        <b/>
        <sz val="10.5"/>
        <color theme="1"/>
        <rFont val="Calibri"/>
        <family val="2"/>
        <scheme val="minor"/>
      </rPr>
      <t xml:space="preserve"> inkomsten</t>
    </r>
  </si>
  <si>
    <t xml:space="preserve">  (zie het echtscheidingsconvenant)</t>
  </si>
  <si>
    <t>Behoefte van studerend kind vanaf 21 jaar toch meenemen in de kinderalimentatie berekening?</t>
  </si>
  <si>
    <t>De belastingvoordeel hypotheekrente dient in mindering te worden gebracht</t>
  </si>
  <si>
    <r>
      <t xml:space="preserve">Bij draagkrachttekort beoordelen of er bij onderhoudsplichtige sprake is van duurzaam en aanmerkelijk lagere werkelijke woonlasten dan de 30% forfait norm. </t>
    </r>
    <r>
      <rPr>
        <b/>
        <sz val="11"/>
        <color theme="1"/>
        <rFont val="Calibri"/>
        <family val="2"/>
        <scheme val="minor"/>
      </rPr>
      <t>Bij een nieuwe partner draagt deze 50% hiervan!</t>
    </r>
  </si>
  <si>
    <t>Werkelijke woonlasten toepassen?</t>
  </si>
  <si>
    <t>Bijdrage nieuwe partner aan de woonlasten?</t>
  </si>
  <si>
    <t xml:space="preserve">Andere (kleine) netto inkomsten. Hier ook een maar klein netto inkomen van een nieuwe partner die niet geheel in eigen onderhoud kan voorzien opnemen als dit mee moet worden genomen i.v.m. een tekort aan draagkracht </t>
  </si>
  <si>
    <t>- Premie opstalverzekering</t>
  </si>
  <si>
    <t>Bedrag wat (gemiddeld over een jaar) per maand betaald moet worden</t>
  </si>
  <si>
    <t>- Aanslag Onroerendzaakbelasting</t>
  </si>
  <si>
    <t>- Aanslag Polder- en Waterschapslasten</t>
  </si>
  <si>
    <t>Bijdrage van nieuwe partner in de woonlast (50% = norm)</t>
  </si>
  <si>
    <t>h-1</t>
  </si>
  <si>
    <t>h-2</t>
  </si>
  <si>
    <r>
      <rPr>
        <b/>
        <u/>
        <sz val="11"/>
        <color theme="1"/>
        <rFont val="Calibri"/>
        <family val="2"/>
        <scheme val="minor"/>
      </rPr>
      <t>Onderhoudsplichtig</t>
    </r>
    <r>
      <rPr>
        <sz val="11"/>
        <color theme="1"/>
        <rFont val="Calibri"/>
        <family val="2"/>
        <scheme val="minor"/>
      </rPr>
      <t xml:space="preserve"> &amp; nieuwe partner met eigen inkomen?</t>
    </r>
  </si>
  <si>
    <r>
      <rPr>
        <b/>
        <u/>
        <sz val="11"/>
        <color theme="1"/>
        <rFont val="Calibri"/>
        <family val="2"/>
        <scheme val="minor"/>
      </rPr>
      <t>Onderhoudsgerechtigd</t>
    </r>
    <r>
      <rPr>
        <sz val="11"/>
        <color theme="1"/>
        <rFont val="Calibri"/>
        <family val="2"/>
        <scheme val="minor"/>
      </rPr>
      <t xml:space="preserve"> &amp; ontvanger van kinderalimentatie?</t>
    </r>
  </si>
  <si>
    <t>m</t>
  </si>
  <si>
    <t>n</t>
  </si>
  <si>
    <r>
      <t xml:space="preserve">Bij een nieuw huwelijk/geregistreerd partnerschap wordt de nieuwe partner als stiefouder </t>
    </r>
    <r>
      <rPr>
        <b/>
        <sz val="11"/>
        <color theme="1"/>
        <rFont val="Calibri"/>
        <family val="2"/>
        <scheme val="minor"/>
      </rPr>
      <t>mede onderhoudsplichtig</t>
    </r>
    <r>
      <rPr>
        <sz val="11"/>
        <color theme="1"/>
        <rFont val="Calibri"/>
        <family val="2"/>
        <scheme val="minor"/>
      </rPr>
      <t xml:space="preserve"> voor jullie gezin (Art. 1:395a BW)</t>
    </r>
  </si>
  <si>
    <t>2023 - 2e halfjaar</t>
  </si>
  <si>
    <t>Bedragen per 01-07-23 van bijstand (participatiewet) en nombrdragen studiefinanciering gewijzigd</t>
  </si>
  <si>
    <t>- Afvalstoffen en/of rioolheffing</t>
  </si>
  <si>
    <t>Bedrag wat (gemiddeld over een jaar) per maand wordt betaald</t>
  </si>
  <si>
    <t>- Onderhoudskosten koopwoning</t>
  </si>
  <si>
    <t>Bedrag wat (gemiddeld over een jaar/enkele jaren) per maand is/wordt betaald</t>
  </si>
  <si>
    <t>Bijstandsnorm t.b.v. (kinder)alimentatie berekening</t>
  </si>
  <si>
    <t>Bedrag wat per maand betaald moet worden</t>
  </si>
  <si>
    <r>
      <t>Ziektekosten(verzekering) (</t>
    </r>
    <r>
      <rPr>
        <b/>
        <u/>
        <sz val="11"/>
        <color rgb="FFFF0000"/>
        <rFont val="Calibri"/>
        <family val="2"/>
        <scheme val="minor"/>
      </rPr>
      <t>= vervallen, is per 01-01-2023 vervangen door forfaitaire bedragen</t>
    </r>
    <r>
      <rPr>
        <b/>
        <u/>
        <sz val="11"/>
        <color theme="1"/>
        <rFont val="Calibri"/>
        <family val="2"/>
        <scheme val="minor"/>
      </rPr>
      <t>)</t>
    </r>
  </si>
  <si>
    <r>
      <t>Te berekenen op:</t>
    </r>
    <r>
      <rPr>
        <sz val="11"/>
        <color theme="8"/>
        <rFont val="Calibri"/>
        <family val="2"/>
        <scheme val="minor"/>
      </rPr>
      <t xml:space="preserve"> </t>
    </r>
  </si>
  <si>
    <t>Onderhoudsplichtige</t>
  </si>
  <si>
    <t>Onderhoudgerechtigde</t>
  </si>
  <si>
    <t>Officiële jaar van scheiding (t.b.v. NBI Kinderalimentatie)</t>
  </si>
  <si>
    <t>Bij een nieuwe huwelijk of geregistreerd partnerschap van de ontvanger de kinderalimentatie is deze op grond van artikel 1:395a BW stiefouder en ook onderhoudsplichtig voor de kinderen die tot hun gezin behoren.</t>
  </si>
  <si>
    <t>Geschoond t.b.v. kinderalimentatie</t>
  </si>
  <si>
    <t>Aftrekbare kosten t.b.v. hypotheek/jaar</t>
  </si>
  <si>
    <t>in Woonlasten_afwijkend de post 'Onderhoudskosten koopwoning' toegevoegd, Ziektekosten verwijderd</t>
  </si>
  <si>
    <t>1.1</t>
  </si>
  <si>
    <t>Wat correcties t.a.v. de spelling in de diverse tabbladen</t>
  </si>
  <si>
    <t>Besteedbaar inkomen per jaar, na aftrek van de verschuldigde inkomensafhankelijke bijdrage ZVW en premie netto pensioensparen (57)</t>
  </si>
  <si>
    <r>
      <t>Werkelijke woonlasten volgens de specificatie zoals opgevoerd in het tabblad "</t>
    </r>
    <r>
      <rPr>
        <i/>
        <sz val="11"/>
        <color theme="1"/>
        <rFont val="Calibri"/>
        <family val="2"/>
        <scheme val="minor"/>
      </rPr>
      <t>Woonlasten_afwijkend</t>
    </r>
    <r>
      <rPr>
        <sz val="11"/>
        <color theme="1"/>
        <rFont val="Calibri"/>
        <family val="2"/>
        <scheme val="minor"/>
      </rPr>
      <t xml:space="preserve">" </t>
    </r>
    <r>
      <rPr>
        <i/>
        <sz val="11"/>
        <color rgb="FFFF0000"/>
        <rFont val="Calibri"/>
        <family val="2"/>
        <scheme val="minor"/>
      </rPr>
      <t>(deze bedragen moeten reëel en aantoonbaar zijn !!!)</t>
    </r>
  </si>
  <si>
    <t>Als de werkelijke woonlasten lager/hoger zijn dan het forfaitaire woonbudget moet/mag er onder voorwaarden voor de partner-/kinderalimentatie met dit bedrag worden gerekend i.p.v. met het woonbudget a 30% (zie 123)</t>
  </si>
  <si>
    <t>LET OP: De posten 124 t/m 133 zijn m.i.v. 01-01-2023 vervangen, net als bij de kinderbijslag wordt er nu primair uitgegaan van een forfaitaire woonlast (woonbudget genoemd)</t>
  </si>
  <si>
    <t>Andere onderhoudsverplichtingen</t>
  </si>
  <si>
    <t>OEW: Hypotheekaflossing betaald voor ex-partner als partneralimentatie</t>
  </si>
  <si>
    <t>Resteert voor partneralimentatie (exclusief belastingvoordeel)/maand:</t>
  </si>
  <si>
    <t>(nr. 102a t/m 102c) - (102d)</t>
  </si>
  <si>
    <t>Zie de exacte bedragen de tabel "Forfaitair Rendement" in het tabblad "Basisgegevens"</t>
  </si>
  <si>
    <t>Inkomsten waarover inkomensafhankelijke bijdrage ZVW is verschuldigd</t>
  </si>
  <si>
    <t>Inkomsten waarover inkomensafhankelijke bijdrage ZVW verschuldigd is / ZVW-premie:</t>
  </si>
  <si>
    <t>- OEW: Van ex-partner ontvangen woonvergoeding i.v.m. verlaten van de woning</t>
  </si>
  <si>
    <t>Hoort hier omdat een bijstandsuitkering een NETTO uitkering is.</t>
  </si>
  <si>
    <r>
      <t>Oppaskosten ten tijde van de relatie  (</t>
    </r>
    <r>
      <rPr>
        <b/>
        <sz val="11"/>
        <color rgb="FFFF0000"/>
        <rFont val="Calibri"/>
        <family val="2"/>
        <scheme val="minor"/>
      </rPr>
      <t>-</t>
    </r>
    <r>
      <rPr>
        <sz val="11"/>
        <color theme="1"/>
        <rFont val="Calibri"/>
        <family val="2"/>
        <scheme val="minor"/>
      </rPr>
      <t>)</t>
    </r>
  </si>
  <si>
    <t>Correcties bij het NBI t.b.v. Kinderalimentatie</t>
  </si>
  <si>
    <t>1.2</t>
  </si>
  <si>
    <r>
      <t xml:space="preserve">In de JUS-vergelijking moet de "Vrije ruimte" voor beide partners gelijk zijn. 
Vul bij een verschil in vrije ruimte (zie cel K33) het correctie bedrag in bij cel J31 (= </t>
    </r>
    <r>
      <rPr>
        <sz val="11"/>
        <color rgb="FF00B0F0"/>
        <rFont val="Calibri"/>
        <family val="2"/>
        <scheme val="minor"/>
      </rPr>
      <t>blauw</t>
    </r>
    <r>
      <rPr>
        <sz val="11"/>
        <color theme="1"/>
        <rFont val="Calibri"/>
        <family val="2"/>
        <scheme val="minor"/>
      </rPr>
      <t xml:space="preserve">). 
</t>
    </r>
    <r>
      <rPr>
        <sz val="5"/>
        <color theme="1"/>
        <rFont val="Calibri"/>
        <family val="2"/>
        <scheme val="minor"/>
      </rPr>
      <t xml:space="preserve">
</t>
    </r>
    <r>
      <rPr>
        <sz val="11"/>
        <color theme="1"/>
        <rFont val="Calibri"/>
        <family val="2"/>
        <scheme val="minor"/>
      </rPr>
      <t xml:space="preserve">Zodanig dat de vrije ruimte bij beiden gelijk wordt. 
</t>
    </r>
    <r>
      <rPr>
        <sz val="5"/>
        <color theme="1"/>
        <rFont val="Calibri"/>
        <family val="2"/>
        <scheme val="minor"/>
      </rPr>
      <t xml:space="preserve">
</t>
    </r>
    <r>
      <rPr>
        <sz val="11"/>
        <color theme="1"/>
        <rFont val="Calibri"/>
        <family val="2"/>
        <scheme val="minor"/>
      </rPr>
      <t>In Cel L33 wordt de schatting van het startbedrag (en daarna het aanvullende correctiebedrag).</t>
    </r>
  </si>
  <si>
    <t>1.3</t>
  </si>
  <si>
    <t>Fout bij toepassing draagkrachttabel tbv kinderalimentatie bij lage NBI gecorrigeerd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</si>
</sst>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 #,##0;[Red]&quot;€&quot;\ \-#,##0"/>
    <numFmt numFmtId="42" formatCode="_ &quot;€&quot;\ * #,##0_ ;_ &quot;€&quot;\ * \-#,##0_ ;_ &quot;€&quot;\ * &quot;-&quot;_ ;_ @_ "/>
    <numFmt numFmtId="41" formatCode="_ * #,##0_ ;_ * \-#,##0_ ;_ * &quot;-&quot;_ ;_ @_ "/>
    <numFmt numFmtId="44" formatCode="_ &quot;€&quot;\ * #,##0.00_ ;_ &quot;€&quot;\ * \-#,##0.00_ ;_ &quot;€&quot;\ * &quot;-&quot;??_ ;_ @_ "/>
    <numFmt numFmtId="164" formatCode="&quot;€&quot;\ #,##0"/>
    <numFmt numFmtId="165" formatCode="_([$€-2]\ * #,##0_);_([$€-2]\ * \(#,##0\);_([$€-2]\ * &quot;-&quot;_);_(@_)"/>
    <numFmt numFmtId="166" formatCode="_ [$€-413]\ * #,##0.00_ ;_ [$€-413]\ * \-#,##0.00_ ;_ [$€-413]\ * &quot;-&quot;??_ ;_ @_ "/>
    <numFmt numFmtId="167" formatCode="[$-413]d/mmm/yy;@"/>
    <numFmt numFmtId="168" formatCode="0.000%"/>
    <numFmt numFmtId="169" formatCode="0_ ;\-0\ "/>
    <numFmt numFmtId="170" formatCode="dd/mmm/yyyy"/>
    <numFmt numFmtId="171" formatCode="0.000"/>
    <numFmt numFmtId="172" formatCode="#,##0_ ;[Red]\-#,##0\ "/>
    <numFmt numFmtId="173" formatCode="#,##0_ ;\-#,##0\ "/>
    <numFmt numFmtId="174" formatCode="0.0%"/>
    <numFmt numFmtId="175" formatCode="ddd\ dd/mmm/yy"/>
    <numFmt numFmtId="176" formatCode="00.00.00.000"/>
    <numFmt numFmtId="177" formatCode="_ &quot;€&quot;\ * #,##0.000_ ;_ &quot;€&quot;\ * \-#,##0.000_ ;_ &quot;€&quot;\ * &quot;-&quot;???_ ;_ @_ "/>
    <numFmt numFmtId="178" formatCode="[$-413]dd/mmm/yy;@"/>
    <numFmt numFmtId="179" formatCode="0.0000"/>
    <numFmt numFmtId="180" formatCode="0.0000%"/>
  </numFmts>
  <fonts count="91" x14ac:knownFonts="1">
    <font>
      <sz val="11"/>
      <color theme="1"/>
      <name val="Calibri"/>
      <family val="2"/>
      <scheme val="minor"/>
    </font>
    <font>
      <sz val="10"/>
      <name val="Arial"/>
      <family val="2"/>
    </font>
    <font>
      <b/>
      <u/>
      <sz val="11"/>
      <color theme="1"/>
      <name val="Calibri"/>
      <family val="2"/>
      <scheme val="minor"/>
    </font>
    <font>
      <b/>
      <sz val="11"/>
      <color theme="1"/>
      <name val="Calibri"/>
      <family val="2"/>
      <scheme val="minor"/>
    </font>
    <font>
      <sz val="9"/>
      <color indexed="81"/>
      <name val="Tahoma"/>
      <family val="2"/>
    </font>
    <font>
      <sz val="11"/>
      <color rgb="FFFF0000"/>
      <name val="Calibri"/>
      <family val="2"/>
      <scheme val="minor"/>
    </font>
    <font>
      <u/>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family val="2"/>
    </font>
    <font>
      <u/>
      <sz val="11"/>
      <color theme="10"/>
      <name val="Calibri"/>
      <family val="2"/>
      <scheme val="minor"/>
    </font>
    <font>
      <sz val="11"/>
      <color rgb="FF000000"/>
      <name val="Calibri"/>
      <family val="2"/>
      <scheme val="minor"/>
    </font>
    <font>
      <b/>
      <sz val="11"/>
      <color rgb="FF000000"/>
      <name val="Calibri"/>
      <family val="2"/>
      <scheme val="minor"/>
    </font>
    <font>
      <b/>
      <u/>
      <sz val="11"/>
      <color rgb="FFFF0000"/>
      <name val="Calibri"/>
      <family val="2"/>
      <scheme val="minor"/>
    </font>
    <font>
      <b/>
      <sz val="16"/>
      <color theme="1"/>
      <name val="Calibri"/>
      <family val="2"/>
      <scheme val="minor"/>
    </font>
    <font>
      <b/>
      <u/>
      <sz val="11"/>
      <color rgb="FF000000"/>
      <name val="Calibri"/>
      <family val="2"/>
      <scheme val="minor"/>
    </font>
    <font>
      <b/>
      <u/>
      <sz val="11"/>
      <name val="Calibri"/>
      <family val="2"/>
      <scheme val="minor"/>
    </font>
    <font>
      <sz val="10"/>
      <color rgb="FF000000"/>
      <name val="Verdana"/>
      <family val="2"/>
    </font>
    <font>
      <u/>
      <sz val="10"/>
      <color rgb="FF000000"/>
      <name val="Verdana"/>
      <family val="2"/>
    </font>
    <font>
      <b/>
      <u/>
      <sz val="10"/>
      <color rgb="FF000000"/>
      <name val="Verdana"/>
      <family val="2"/>
    </font>
    <font>
      <b/>
      <u/>
      <sz val="14"/>
      <name val="Calibri"/>
      <family val="2"/>
      <scheme val="minor"/>
    </font>
    <font>
      <i/>
      <sz val="11"/>
      <name val="Calibri"/>
      <family val="2"/>
      <scheme val="minor"/>
    </font>
    <font>
      <u/>
      <sz val="11"/>
      <name val="Calibri"/>
      <family val="2"/>
      <scheme val="minor"/>
    </font>
    <font>
      <b/>
      <i/>
      <sz val="11"/>
      <name val="Calibri"/>
      <family val="2"/>
      <scheme val="minor"/>
    </font>
    <font>
      <b/>
      <u/>
      <sz val="12"/>
      <color theme="1"/>
      <name val="Calibri"/>
      <family val="2"/>
      <scheme val="minor"/>
    </font>
    <font>
      <i/>
      <sz val="11"/>
      <color rgb="FFFF0000"/>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b/>
      <u val="singleAccounting"/>
      <sz val="11"/>
      <color theme="1"/>
      <name val="Calibri"/>
      <family val="2"/>
      <scheme val="minor"/>
    </font>
    <font>
      <b/>
      <sz val="11"/>
      <color theme="0"/>
      <name val="Calibri"/>
      <family val="2"/>
      <scheme val="minor"/>
    </font>
    <font>
      <b/>
      <i/>
      <sz val="11"/>
      <color theme="1"/>
      <name val="Calibri"/>
      <family val="2"/>
      <scheme val="minor"/>
    </font>
    <font>
      <sz val="16"/>
      <name val="Calibri"/>
      <family val="2"/>
      <scheme val="minor"/>
    </font>
    <font>
      <b/>
      <sz val="16"/>
      <name val="Calibri"/>
      <family val="2"/>
      <scheme val="minor"/>
    </font>
    <font>
      <b/>
      <u/>
      <sz val="16"/>
      <color theme="1"/>
      <name val="Calibri"/>
      <family val="2"/>
      <scheme val="minor"/>
    </font>
    <font>
      <b/>
      <u/>
      <sz val="12"/>
      <name val="Calibri"/>
      <family val="2"/>
      <scheme val="minor"/>
    </font>
    <font>
      <sz val="12"/>
      <color theme="1"/>
      <name val="Calibri"/>
      <family val="2"/>
      <scheme val="minor"/>
    </font>
    <font>
      <b/>
      <sz val="14"/>
      <name val="Calibri"/>
      <family val="2"/>
      <scheme val="minor"/>
    </font>
    <font>
      <b/>
      <sz val="12"/>
      <color theme="1"/>
      <name val="Calibri"/>
      <family val="2"/>
      <scheme val="minor"/>
    </font>
    <font>
      <b/>
      <u/>
      <sz val="16"/>
      <name val="Calibri"/>
      <family val="2"/>
      <scheme val="minor"/>
    </font>
    <font>
      <b/>
      <sz val="12"/>
      <name val="Calibri"/>
      <family val="2"/>
      <scheme val="minor"/>
    </font>
    <font>
      <sz val="11"/>
      <color theme="0"/>
      <name val="Calibri"/>
      <family val="2"/>
      <scheme val="minor"/>
    </font>
    <font>
      <b/>
      <u/>
      <sz val="18"/>
      <color theme="1"/>
      <name val="Calibri"/>
      <family val="2"/>
      <scheme val="minor"/>
    </font>
    <font>
      <u val="singleAccounting"/>
      <sz val="11"/>
      <color theme="1"/>
      <name val="Calibri"/>
      <family val="2"/>
      <scheme val="minor"/>
    </font>
    <font>
      <sz val="11"/>
      <color theme="1"/>
      <name val="Calibri"/>
      <family val="2"/>
      <scheme val="minor"/>
    </font>
    <font>
      <u/>
      <sz val="12"/>
      <color theme="10"/>
      <name val="Calibri"/>
      <family val="2"/>
      <scheme val="minor"/>
    </font>
    <font>
      <sz val="11"/>
      <color rgb="FF202020"/>
      <name val="Calibri"/>
      <family val="2"/>
      <scheme val="minor"/>
    </font>
    <font>
      <b/>
      <u/>
      <sz val="11"/>
      <color rgb="FF00B0F0"/>
      <name val="Calibri"/>
      <family val="2"/>
      <scheme val="minor"/>
    </font>
    <font>
      <sz val="15"/>
      <color theme="1"/>
      <name val="Calibri"/>
      <family val="2"/>
      <scheme val="minor"/>
    </font>
    <font>
      <b/>
      <u/>
      <sz val="15"/>
      <color theme="1"/>
      <name val="Calibri"/>
      <family val="2"/>
      <scheme val="minor"/>
    </font>
    <font>
      <b/>
      <u/>
      <sz val="11"/>
      <color rgb="FFFFC000"/>
      <name val="Calibri"/>
      <family val="2"/>
      <scheme val="minor"/>
    </font>
    <font>
      <sz val="11"/>
      <color theme="1"/>
      <name val="Calibri"/>
      <family val="2"/>
    </font>
    <font>
      <b/>
      <u/>
      <sz val="11"/>
      <color rgb="FF92D050"/>
      <name val="Calibri"/>
      <family val="2"/>
      <scheme val="minor"/>
    </font>
    <font>
      <b/>
      <u/>
      <sz val="11"/>
      <color theme="0" tint="-0.249977111117893"/>
      <name val="Calibri"/>
      <family val="2"/>
      <scheme val="minor"/>
    </font>
    <font>
      <sz val="11"/>
      <color theme="8"/>
      <name val="Calibri"/>
      <family val="2"/>
      <scheme val="minor"/>
    </font>
    <font>
      <b/>
      <sz val="11"/>
      <color theme="8" tint="-0.249977111117893"/>
      <name val="Calibri"/>
      <family val="2"/>
      <scheme val="minor"/>
    </font>
    <font>
      <b/>
      <i/>
      <u/>
      <sz val="12"/>
      <color rgb="FFFF0000"/>
      <name val="Calibri"/>
      <family val="2"/>
      <scheme val="minor"/>
    </font>
    <font>
      <sz val="7.7"/>
      <color theme="1"/>
      <name val="Calibri"/>
      <family val="2"/>
    </font>
    <font>
      <b/>
      <strike/>
      <sz val="11"/>
      <color rgb="FFFF0000"/>
      <name val="Calibri"/>
      <family val="2"/>
      <scheme val="minor"/>
    </font>
    <font>
      <strike/>
      <sz val="11"/>
      <color rgb="FFFF0000"/>
      <name val="Calibri"/>
      <family val="2"/>
      <scheme val="minor"/>
    </font>
    <font>
      <b/>
      <strike/>
      <sz val="11"/>
      <color theme="1"/>
      <name val="Calibri"/>
      <family val="2"/>
      <scheme val="minor"/>
    </font>
    <font>
      <strike/>
      <sz val="11"/>
      <color theme="1"/>
      <name val="Calibri"/>
      <family val="2"/>
      <scheme val="minor"/>
    </font>
    <font>
      <i/>
      <u/>
      <sz val="11"/>
      <color theme="1"/>
      <name val="Calibri"/>
      <family val="2"/>
      <scheme val="minor"/>
    </font>
    <font>
      <b/>
      <u/>
      <sz val="11"/>
      <color theme="5" tint="0.59999389629810485"/>
      <name val="Calibri"/>
      <family val="2"/>
      <scheme val="minor"/>
    </font>
    <font>
      <b/>
      <u/>
      <sz val="11"/>
      <color rgb="FFFFFF00"/>
      <name val="Calibri"/>
      <family val="2"/>
      <scheme val="minor"/>
    </font>
    <font>
      <sz val="14"/>
      <color theme="1"/>
      <name val="Calibri"/>
      <family val="2"/>
    </font>
    <font>
      <sz val="14"/>
      <color rgb="FF0070C0"/>
      <name val="Calibri"/>
      <family val="2"/>
      <scheme val="minor"/>
    </font>
    <font>
      <b/>
      <u/>
      <sz val="12"/>
      <color rgb="FFFF0000"/>
      <name val="Calibri"/>
      <family val="2"/>
      <scheme val="minor"/>
    </font>
    <font>
      <u val="singleAccounting"/>
      <sz val="11"/>
      <name val="Calibri"/>
      <family val="2"/>
      <scheme val="minor"/>
    </font>
    <font>
      <i/>
      <u/>
      <sz val="11"/>
      <name val="Calibri"/>
      <family val="2"/>
      <scheme val="minor"/>
    </font>
    <font>
      <b/>
      <u/>
      <sz val="11"/>
      <color theme="10"/>
      <name val="Calibri"/>
      <family val="2"/>
      <scheme val="minor"/>
    </font>
    <font>
      <sz val="15"/>
      <color theme="4"/>
      <name val="Calibri"/>
      <family val="2"/>
      <scheme val="minor"/>
    </font>
    <font>
      <b/>
      <sz val="10.5"/>
      <color theme="1"/>
      <name val="Calibri"/>
      <family val="2"/>
      <scheme val="minor"/>
    </font>
    <font>
      <b/>
      <sz val="10.5"/>
      <color rgb="FFFF0000"/>
      <name val="Calibri"/>
      <family val="2"/>
      <scheme val="minor"/>
    </font>
    <font>
      <b/>
      <u/>
      <sz val="10.5"/>
      <color theme="1"/>
      <name val="Calibri"/>
      <family val="2"/>
      <scheme val="minor"/>
    </font>
    <font>
      <b/>
      <i/>
      <u/>
      <sz val="11"/>
      <color theme="1"/>
      <name val="Calibri"/>
      <family val="2"/>
      <scheme val="minor"/>
    </font>
    <font>
      <sz val="5"/>
      <color theme="1"/>
      <name val="Calibri"/>
      <family val="2"/>
      <scheme val="minor"/>
    </font>
    <font>
      <sz val="11"/>
      <color rgb="FF00B0F0"/>
      <name val="Calibri"/>
      <family val="2"/>
      <scheme val="minor"/>
    </font>
    <font>
      <b/>
      <sz val="11"/>
      <color rgb="FF00B0F0"/>
      <name val="Calibri"/>
      <family val="2"/>
      <scheme val="minor"/>
    </font>
    <font>
      <b/>
      <strike/>
      <u/>
      <sz val="12"/>
      <color rgb="FFFF0000"/>
      <name val="Calibri"/>
      <family val="2"/>
      <scheme val="minor"/>
    </font>
    <font>
      <b/>
      <strike/>
      <sz val="11"/>
      <name val="Calibri"/>
      <family val="2"/>
      <scheme val="minor"/>
    </font>
    <font>
      <i/>
      <u val="singleAccounting"/>
      <sz val="11"/>
      <name val="Calibri"/>
      <family val="2"/>
      <scheme val="minor"/>
    </font>
    <font>
      <b/>
      <sz val="12"/>
      <color rgb="FF00B050"/>
      <name val="Calibri"/>
      <family val="2"/>
      <scheme val="minor"/>
    </font>
    <font>
      <b/>
      <sz val="13"/>
      <color theme="1"/>
      <name val="Calibri"/>
      <family val="2"/>
      <scheme val="minor"/>
    </font>
    <font>
      <sz val="8"/>
      <color theme="1"/>
      <name val="Calibri"/>
      <family val="2"/>
      <scheme val="minor"/>
    </font>
    <font>
      <sz val="14"/>
      <name val="Calibri"/>
      <family val="2"/>
      <scheme val="minor"/>
    </font>
    <font>
      <b/>
      <sz val="15"/>
      <name val="Calibri"/>
      <family val="2"/>
      <scheme val="minor"/>
    </font>
    <font>
      <sz val="16"/>
      <color theme="1"/>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rgb="FFFCFCF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9"/>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s>
  <cellStyleXfs count="3">
    <xf numFmtId="0" fontId="0" fillId="0" borderId="0"/>
    <xf numFmtId="0" fontId="1" fillId="0" borderId="0"/>
    <xf numFmtId="0" fontId="13" fillId="0" borderId="0" applyNumberFormat="0" applyFill="0" applyBorder="0" applyAlignment="0" applyProtection="0"/>
  </cellStyleXfs>
  <cellXfs count="3123">
    <xf numFmtId="0" fontId="0" fillId="0" borderId="0" xfId="0"/>
    <xf numFmtId="0" fontId="0" fillId="0" borderId="0" xfId="0" applyAlignment="1">
      <alignment vertical="top"/>
    </xf>
    <xf numFmtId="0" fontId="0" fillId="0" borderId="0" xfId="0" applyAlignment="1">
      <alignment vertical="center"/>
    </xf>
    <xf numFmtId="0" fontId="3" fillId="0" borderId="0" xfId="0" applyFont="1" applyAlignment="1">
      <alignment horizontal="center" vertical="center"/>
    </xf>
    <xf numFmtId="0" fontId="2" fillId="0" borderId="0" xfId="0" applyFont="1"/>
    <xf numFmtId="0" fontId="3" fillId="2" borderId="36" xfId="0" applyFont="1" applyFill="1" applyBorder="1" applyAlignment="1">
      <alignment horizontal="center" vertical="center"/>
    </xf>
    <xf numFmtId="0" fontId="3" fillId="2"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0" fillId="0" borderId="26" xfId="0" applyBorder="1"/>
    <xf numFmtId="0" fontId="3" fillId="2" borderId="3" xfId="0" applyFont="1" applyFill="1" applyBorder="1" applyAlignment="1">
      <alignment horizontal="center" vertical="center"/>
    </xf>
    <xf numFmtId="0" fontId="0" fillId="0" borderId="26" xfId="0" applyBorder="1" applyAlignment="1">
      <alignment horizontal="center"/>
    </xf>
    <xf numFmtId="0" fontId="0" fillId="0" borderId="15" xfId="0" applyBorder="1" applyAlignment="1">
      <alignment horizontal="center"/>
    </xf>
    <xf numFmtId="0" fontId="14" fillId="0" borderId="0" xfId="0" applyFont="1" applyAlignment="1">
      <alignment horizontal="center" vertical="center"/>
    </xf>
    <xf numFmtId="0" fontId="18" fillId="0" borderId="0" xfId="0" applyFont="1" applyAlignment="1">
      <alignment horizontal="left" vertical="center"/>
    </xf>
    <xf numFmtId="0" fontId="15" fillId="2" borderId="60" xfId="0" applyFont="1" applyFill="1" applyBorder="1" applyAlignment="1">
      <alignment horizontal="center" vertical="center"/>
    </xf>
    <xf numFmtId="0" fontId="15" fillId="2" borderId="61" xfId="0" applyFont="1" applyFill="1" applyBorder="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0" fillId="0" borderId="0" xfId="0" applyAlignment="1">
      <alignment horizontal="center" vertical="center"/>
    </xf>
    <xf numFmtId="0" fontId="0" fillId="0" borderId="0" xfId="0" quotePrefix="1" applyAlignment="1">
      <alignment horizontal="left" vertical="center"/>
    </xf>
    <xf numFmtId="0" fontId="13" fillId="0" borderId="0" xfId="2" applyAlignment="1">
      <alignment vertical="center"/>
    </xf>
    <xf numFmtId="44" fontId="0" fillId="0" borderId="0" xfId="0" applyNumberFormat="1" applyAlignment="1">
      <alignment vertical="center"/>
    </xf>
    <xf numFmtId="44" fontId="3" fillId="2" borderId="3" xfId="0" applyNumberFormat="1" applyFont="1" applyFill="1" applyBorder="1" applyAlignment="1">
      <alignment horizontal="center" vertical="center"/>
    </xf>
    <xf numFmtId="0" fontId="0" fillId="0" borderId="0" xfId="0" applyAlignment="1">
      <alignment horizontal="right" vertical="center"/>
    </xf>
    <xf numFmtId="0" fontId="19" fillId="0" borderId="0" xfId="0" applyFont="1" applyAlignment="1">
      <alignment horizontal="left" vertical="center"/>
    </xf>
    <xf numFmtId="0" fontId="13" fillId="0" borderId="0" xfId="2" applyFill="1" applyBorder="1" applyAlignment="1">
      <alignment horizontal="left" vertical="center"/>
    </xf>
    <xf numFmtId="0" fontId="9" fillId="0" borderId="0" xfId="0" applyFont="1" applyAlignment="1">
      <alignment vertical="center"/>
    </xf>
    <xf numFmtId="44" fontId="3" fillId="2" borderId="48" xfId="0" applyNumberFormat="1" applyFont="1" applyFill="1"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13" fillId="0" borderId="0" xfId="2" applyAlignment="1">
      <alignment horizontal="left" vertical="center"/>
    </xf>
    <xf numFmtId="0" fontId="11" fillId="0" borderId="0" xfId="0" applyFont="1" applyAlignment="1">
      <alignment vertical="center"/>
    </xf>
    <xf numFmtId="44" fontId="3" fillId="3" borderId="24" xfId="0" applyNumberFormat="1" applyFont="1" applyFill="1" applyBorder="1" applyAlignment="1">
      <alignment horizontal="center" vertical="center"/>
    </xf>
    <xf numFmtId="42" fontId="3" fillId="12" borderId="8" xfId="0" applyNumberFormat="1" applyFont="1" applyFill="1" applyBorder="1" applyAlignment="1">
      <alignment horizontal="center" vertical="center"/>
    </xf>
    <xf numFmtId="44" fontId="3" fillId="12" borderId="9" xfId="0" applyNumberFormat="1" applyFont="1" applyFill="1" applyBorder="1" applyAlignment="1">
      <alignment horizontal="center" vertical="center"/>
    </xf>
    <xf numFmtId="0" fontId="3" fillId="2" borderId="61" xfId="0" applyFont="1" applyFill="1" applyBorder="1" applyAlignment="1">
      <alignment horizontal="center" vertical="center"/>
    </xf>
    <xf numFmtId="0" fontId="3" fillId="2" borderId="22" xfId="0" applyFont="1" applyFill="1" applyBorder="1" applyAlignment="1">
      <alignment horizontal="center" vertical="center"/>
    </xf>
    <xf numFmtId="44" fontId="3" fillId="12" borderId="26" xfId="0" applyNumberFormat="1" applyFont="1" applyFill="1" applyBorder="1" applyAlignment="1">
      <alignment horizontal="center" vertical="center"/>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44" fontId="3" fillId="3" borderId="36"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0" fontId="3" fillId="2" borderId="23" xfId="0" applyFont="1" applyFill="1" applyBorder="1" applyAlignment="1">
      <alignment horizontal="center" vertical="center"/>
    </xf>
    <xf numFmtId="44" fontId="3" fillId="12" borderId="24" xfId="0" applyNumberFormat="1" applyFont="1" applyFill="1" applyBorder="1" applyAlignment="1">
      <alignment horizontal="center" vertical="center"/>
    </xf>
    <xf numFmtId="0" fontId="0" fillId="0" borderId="56" xfId="0" applyBorder="1" applyAlignment="1">
      <alignment vertical="top" wrapText="1"/>
    </xf>
    <xf numFmtId="0" fontId="0" fillId="0" borderId="54" xfId="0" applyBorder="1" applyAlignment="1">
      <alignment vertical="top" wrapText="1"/>
    </xf>
    <xf numFmtId="44" fontId="3" fillId="3" borderId="3" xfId="0" applyNumberFormat="1" applyFont="1" applyFill="1" applyBorder="1" applyAlignment="1">
      <alignment vertical="center"/>
    </xf>
    <xf numFmtId="44" fontId="3" fillId="2" borderId="50" xfId="0" applyNumberFormat="1" applyFont="1" applyFill="1" applyBorder="1" applyAlignment="1">
      <alignment horizontal="center" vertical="center"/>
    </xf>
    <xf numFmtId="44" fontId="3" fillId="3" borderId="45" xfId="0" applyNumberFormat="1" applyFont="1" applyFill="1" applyBorder="1" applyAlignment="1">
      <alignment vertical="center"/>
    </xf>
    <xf numFmtId="44" fontId="3" fillId="3" borderId="31" xfId="0" applyNumberFormat="1" applyFont="1" applyFill="1" applyBorder="1" applyAlignment="1">
      <alignment vertical="center"/>
    </xf>
    <xf numFmtId="0" fontId="15" fillId="2" borderId="50" xfId="0" applyFont="1" applyFill="1" applyBorder="1" applyAlignment="1">
      <alignment horizontal="left" vertical="center"/>
    </xf>
    <xf numFmtId="0" fontId="0" fillId="0" borderId="0" xfId="0" applyAlignment="1">
      <alignment vertical="center" wrapText="1"/>
    </xf>
    <xf numFmtId="44" fontId="3" fillId="12" borderId="3" xfId="0" applyNumberFormat="1" applyFont="1" applyFill="1" applyBorder="1" applyAlignment="1">
      <alignment horizontal="center" vertical="center"/>
    </xf>
    <xf numFmtId="0" fontId="15" fillId="2" borderId="4" xfId="0" applyFont="1" applyFill="1" applyBorder="1" applyAlignment="1">
      <alignment horizontal="center" vertical="center"/>
    </xf>
    <xf numFmtId="0" fontId="3" fillId="2" borderId="19" xfId="0" applyFont="1" applyFill="1" applyBorder="1" applyAlignment="1">
      <alignment horizontal="center" vertical="center"/>
    </xf>
    <xf numFmtId="44" fontId="3" fillId="2" borderId="5" xfId="0" applyNumberFormat="1" applyFont="1" applyFill="1" applyBorder="1" applyAlignment="1">
      <alignment horizontal="center" vertical="center"/>
    </xf>
    <xf numFmtId="44" fontId="3" fillId="3" borderId="3" xfId="0" applyNumberFormat="1" applyFont="1" applyFill="1" applyBorder="1" applyAlignment="1">
      <alignment horizontal="center" vertical="center"/>
    </xf>
    <xf numFmtId="0" fontId="3" fillId="2" borderId="3" xfId="0" applyFont="1" applyFill="1" applyBorder="1" applyAlignment="1">
      <alignment vertical="center"/>
    </xf>
    <xf numFmtId="44" fontId="3" fillId="2" borderId="23" xfId="0" applyNumberFormat="1" applyFont="1" applyFill="1" applyBorder="1" applyAlignment="1">
      <alignment horizontal="center" vertical="center"/>
    </xf>
    <xf numFmtId="0" fontId="0" fillId="0" borderId="0" xfId="0" quotePrefix="1" applyAlignment="1">
      <alignment vertical="center"/>
    </xf>
    <xf numFmtId="0" fontId="3" fillId="2" borderId="2" xfId="0" applyFont="1" applyFill="1" applyBorder="1" applyAlignment="1">
      <alignment horizontal="center" vertical="center"/>
    </xf>
    <xf numFmtId="0" fontId="15" fillId="2" borderId="36" xfId="0" applyFont="1" applyFill="1" applyBorder="1" applyAlignment="1">
      <alignment horizontal="center" vertical="center"/>
    </xf>
    <xf numFmtId="44" fontId="15" fillId="2" borderId="3" xfId="0" applyNumberFormat="1"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6" xfId="0" applyFont="1" applyFill="1" applyBorder="1" applyAlignment="1">
      <alignment horizontal="center" vertical="center"/>
    </xf>
    <xf numFmtId="0" fontId="0" fillId="0" borderId="33" xfId="0" applyBorder="1" applyAlignment="1">
      <alignment horizontal="center" vertical="center"/>
    </xf>
    <xf numFmtId="44" fontId="3" fillId="2" borderId="2" xfId="0" applyNumberFormat="1"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44" fontId="3" fillId="2" borderId="28" xfId="0" applyNumberFormat="1" applyFont="1" applyFill="1" applyBorder="1" applyAlignment="1">
      <alignment horizontal="center" vertical="center"/>
    </xf>
    <xf numFmtId="0" fontId="0" fillId="0" borderId="43" xfId="0" applyBorder="1" applyAlignment="1">
      <alignment horizontal="center" vertical="center"/>
    </xf>
    <xf numFmtId="42" fontId="3" fillId="3" borderId="36" xfId="0" applyNumberFormat="1" applyFont="1" applyFill="1" applyBorder="1" applyAlignment="1">
      <alignment horizontal="center" vertical="center"/>
    </xf>
    <xf numFmtId="42" fontId="3" fillId="3" borderId="5" xfId="0" applyNumberFormat="1" applyFont="1" applyFill="1" applyBorder="1" applyAlignment="1">
      <alignment horizontal="center" vertical="center"/>
    </xf>
    <xf numFmtId="44" fontId="3" fillId="2" borderId="36" xfId="0" applyNumberFormat="1" applyFont="1" applyFill="1" applyBorder="1" applyAlignment="1">
      <alignment horizontal="center" vertical="center"/>
    </xf>
    <xf numFmtId="0" fontId="3" fillId="2" borderId="59" xfId="0" applyFont="1" applyFill="1" applyBorder="1" applyAlignment="1">
      <alignment horizontal="center" vertical="center"/>
    </xf>
    <xf numFmtId="44" fontId="3" fillId="2" borderId="25" xfId="0" applyNumberFormat="1" applyFont="1" applyFill="1" applyBorder="1" applyAlignment="1">
      <alignment horizontal="center" vertical="center"/>
    </xf>
    <xf numFmtId="0" fontId="27" fillId="0" borderId="0" xfId="0" applyFont="1" applyAlignment="1">
      <alignment horizontal="left" vertical="center"/>
    </xf>
    <xf numFmtId="0" fontId="15" fillId="2" borderId="28" xfId="0" applyFont="1" applyFill="1" applyBorder="1" applyAlignment="1">
      <alignment horizontal="left" vertical="center"/>
    </xf>
    <xf numFmtId="0" fontId="3" fillId="0" borderId="0" xfId="0" quotePrefix="1" applyFont="1" applyAlignment="1">
      <alignment vertical="center"/>
    </xf>
    <xf numFmtId="44" fontId="3" fillId="12" borderId="8" xfId="0" applyNumberFormat="1" applyFont="1" applyFill="1" applyBorder="1" applyAlignment="1">
      <alignment vertical="center"/>
    </xf>
    <xf numFmtId="44" fontId="3" fillId="12" borderId="26" xfId="0" applyNumberFormat="1" applyFont="1" applyFill="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3" fillId="0" borderId="43" xfId="0" applyFont="1" applyBorder="1" applyAlignment="1">
      <alignment horizontal="center" vertical="center"/>
    </xf>
    <xf numFmtId="0" fontId="3" fillId="3" borderId="3" xfId="0" applyFont="1" applyFill="1" applyBorder="1" applyAlignment="1">
      <alignment horizontal="center" vertical="center"/>
    </xf>
    <xf numFmtId="0" fontId="0" fillId="0" borderId="6" xfId="0" applyBorder="1" applyAlignment="1">
      <alignment vertical="center" wrapText="1"/>
    </xf>
    <xf numFmtId="0" fontId="7" fillId="6" borderId="4" xfId="0" applyFont="1" applyFill="1" applyBorder="1" applyAlignment="1">
      <alignment vertical="center" wrapText="1"/>
    </xf>
    <xf numFmtId="44" fontId="3" fillId="12" borderId="8" xfId="0" applyNumberFormat="1" applyFont="1" applyFill="1" applyBorder="1" applyAlignment="1">
      <alignment horizontal="center" vertical="center"/>
    </xf>
    <xf numFmtId="0" fontId="3" fillId="12" borderId="9" xfId="0" applyFont="1" applyFill="1" applyBorder="1" applyAlignment="1">
      <alignment horizontal="center" vertical="center"/>
    </xf>
    <xf numFmtId="42" fontId="3" fillId="15" borderId="1" xfId="0" applyNumberFormat="1" applyFont="1" applyFill="1" applyBorder="1" applyAlignment="1">
      <alignment horizontal="center" vertical="center"/>
    </xf>
    <xf numFmtId="42" fontId="0" fillId="0" borderId="0" xfId="0" applyNumberFormat="1" applyAlignment="1">
      <alignment horizontal="center" vertical="center"/>
    </xf>
    <xf numFmtId="0" fontId="0" fillId="0" borderId="1" xfId="0" quotePrefix="1" applyBorder="1" applyAlignment="1">
      <alignment vertical="center" wrapText="1"/>
    </xf>
    <xf numFmtId="0" fontId="31" fillId="0" borderId="0" xfId="0" applyFont="1" applyAlignment="1">
      <alignment vertical="top"/>
    </xf>
    <xf numFmtId="0" fontId="9" fillId="0" borderId="0" xfId="0" applyFont="1" applyAlignment="1">
      <alignment vertical="top"/>
    </xf>
    <xf numFmtId="0" fontId="0" fillId="0" borderId="1" xfId="0" applyBorder="1" applyAlignment="1">
      <alignment horizontal="left" vertical="center" wrapText="1"/>
    </xf>
    <xf numFmtId="0" fontId="2" fillId="0" borderId="0" xfId="0" applyFont="1" applyAlignment="1">
      <alignment vertical="center" wrapText="1"/>
    </xf>
    <xf numFmtId="0" fontId="2" fillId="2" borderId="49" xfId="0" applyFont="1" applyFill="1" applyBorder="1" applyAlignment="1">
      <alignment vertical="center" wrapText="1"/>
    </xf>
    <xf numFmtId="0" fontId="0" fillId="0" borderId="57" xfId="0" applyBorder="1" applyAlignment="1">
      <alignment horizontal="center" wrapText="1"/>
    </xf>
    <xf numFmtId="0" fontId="0" fillId="0" borderId="0" xfId="0" applyAlignment="1">
      <alignment horizontal="right" vertical="center" wrapText="1"/>
    </xf>
    <xf numFmtId="0" fontId="3" fillId="2" borderId="19" xfId="0" applyFont="1" applyFill="1"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wrapText="1"/>
    </xf>
    <xf numFmtId="0" fontId="3" fillId="3" borderId="19" xfId="0" applyFont="1" applyFill="1" applyBorder="1" applyAlignment="1">
      <alignment vertical="center" wrapText="1"/>
    </xf>
    <xf numFmtId="0" fontId="0" fillId="0" borderId="19" xfId="0" applyBorder="1" applyAlignment="1">
      <alignment vertical="center" wrapText="1"/>
    </xf>
    <xf numFmtId="42" fontId="3" fillId="0" borderId="1" xfId="0" applyNumberFormat="1" applyFont="1" applyBorder="1" applyAlignment="1">
      <alignment horizontal="center" vertical="center"/>
    </xf>
    <xf numFmtId="0" fontId="3" fillId="3" borderId="36"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44" fontId="0" fillId="0" borderId="0" xfId="0" applyNumberFormat="1" applyAlignment="1">
      <alignment horizontal="center" vertical="center"/>
    </xf>
    <xf numFmtId="44" fontId="3" fillId="2" borderId="19" xfId="0" applyNumberFormat="1" applyFont="1" applyFill="1" applyBorder="1" applyAlignment="1">
      <alignment horizontal="center" vertical="center"/>
    </xf>
    <xf numFmtId="0" fontId="15" fillId="2" borderId="3" xfId="0" applyFont="1" applyFill="1" applyBorder="1" applyAlignment="1">
      <alignment horizontal="left" vertical="center"/>
    </xf>
    <xf numFmtId="0" fontId="3" fillId="0" borderId="0" xfId="0" applyFont="1" applyAlignment="1">
      <alignment horizontal="lef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3" borderId="48" xfId="0" applyFill="1" applyBorder="1" applyAlignment="1">
      <alignment vertical="center"/>
    </xf>
    <xf numFmtId="0" fontId="3" fillId="3" borderId="3" xfId="0" applyFont="1" applyFill="1" applyBorder="1" applyAlignment="1">
      <alignment horizontal="center"/>
    </xf>
    <xf numFmtId="42" fontId="3" fillId="3" borderId="3" xfId="0" applyNumberFormat="1" applyFont="1" applyFill="1" applyBorder="1" applyAlignment="1">
      <alignment horizontal="center"/>
    </xf>
    <xf numFmtId="173" fontId="3" fillId="3" borderId="24" xfId="0" applyNumberFormat="1" applyFont="1" applyFill="1" applyBorder="1" applyAlignment="1">
      <alignment horizontal="center" vertical="center"/>
    </xf>
    <xf numFmtId="173" fontId="3" fillId="3" borderId="51" xfId="0" applyNumberFormat="1" applyFont="1" applyFill="1" applyBorder="1" applyAlignment="1">
      <alignment horizontal="center" vertical="center"/>
    </xf>
    <xf numFmtId="0" fontId="0" fillId="0" borderId="0" xfId="0" applyAlignment="1">
      <alignment vertical="center" textRotation="90"/>
    </xf>
    <xf numFmtId="49" fontId="0" fillId="0" borderId="0" xfId="0" applyNumberFormat="1" applyAlignment="1">
      <alignment horizontal="center"/>
    </xf>
    <xf numFmtId="44" fontId="0" fillId="0" borderId="0" xfId="0" applyNumberFormat="1"/>
    <xf numFmtId="0" fontId="19" fillId="0" borderId="0" xfId="1" applyFont="1" applyAlignment="1">
      <alignment vertical="top"/>
    </xf>
    <xf numFmtId="0" fontId="9" fillId="0" borderId="0" xfId="1" applyFont="1" applyAlignment="1">
      <alignment vertical="top"/>
    </xf>
    <xf numFmtId="0" fontId="19" fillId="0" borderId="0" xfId="1" applyFont="1" applyAlignment="1">
      <alignment horizontal="center" vertical="top"/>
    </xf>
    <xf numFmtId="0" fontId="11" fillId="0" borderId="0" xfId="1" applyFont="1" applyAlignment="1">
      <alignment horizontal="center" vertical="top"/>
    </xf>
    <xf numFmtId="0" fontId="3" fillId="2" borderId="3" xfId="0" applyFont="1" applyFill="1" applyBorder="1" applyAlignment="1">
      <alignment horizontal="center"/>
    </xf>
    <xf numFmtId="42" fontId="3" fillId="3" borderId="3" xfId="0" applyNumberFormat="1" applyFont="1" applyFill="1" applyBorder="1"/>
    <xf numFmtId="0" fontId="3" fillId="2" borderId="3" xfId="0" applyFont="1" applyFill="1" applyBorder="1" applyAlignment="1">
      <alignment horizontal="center" vertical="center" wrapText="1"/>
    </xf>
    <xf numFmtId="44" fontId="3" fillId="12" borderId="3" xfId="0" applyNumberFormat="1" applyFont="1" applyFill="1" applyBorder="1" applyAlignment="1">
      <alignment vertical="center"/>
    </xf>
    <xf numFmtId="42" fontId="0" fillId="10" borderId="10" xfId="0" applyNumberFormat="1" applyFill="1" applyBorder="1"/>
    <xf numFmtId="1" fontId="3" fillId="3" borderId="26" xfId="0" applyNumberFormat="1" applyFont="1" applyFill="1" applyBorder="1" applyAlignment="1">
      <alignment horizontal="center" vertical="center"/>
    </xf>
    <xf numFmtId="0" fontId="2" fillId="2" borderId="3" xfId="0" applyFont="1" applyFill="1" applyBorder="1" applyAlignment="1">
      <alignment vertical="center"/>
    </xf>
    <xf numFmtId="167" fontId="0" fillId="10" borderId="1" xfId="0" applyNumberFormat="1" applyFill="1" applyBorder="1" applyAlignment="1">
      <alignment horizontal="center"/>
    </xf>
    <xf numFmtId="0" fontId="0" fillId="10" borderId="1" xfId="0" applyFill="1" applyBorder="1" applyAlignment="1">
      <alignment horizontal="center"/>
    </xf>
    <xf numFmtId="167" fontId="0" fillId="10" borderId="20" xfId="0" applyNumberFormat="1" applyFill="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26" xfId="0" applyNumberFormat="1" applyBorder="1" applyAlignment="1">
      <alignment horizontal="center"/>
    </xf>
    <xf numFmtId="0" fontId="3" fillId="2" borderId="22" xfId="0" applyFont="1" applyFill="1" applyBorder="1" applyAlignment="1">
      <alignment vertical="center" wrapText="1"/>
    </xf>
    <xf numFmtId="0" fontId="0" fillId="0" borderId="46" xfId="0" applyBorder="1" applyAlignment="1">
      <alignment vertical="center" wrapText="1"/>
    </xf>
    <xf numFmtId="0" fontId="0" fillId="2" borderId="3" xfId="0" applyFill="1" applyBorder="1" applyAlignment="1">
      <alignment horizontal="center" vertical="center"/>
    </xf>
    <xf numFmtId="42" fontId="3" fillId="0" borderId="0" xfId="0" applyNumberFormat="1" applyFont="1" applyAlignment="1">
      <alignment horizontal="center" vertical="center"/>
    </xf>
    <xf numFmtId="0" fontId="39" fillId="0" borderId="0" xfId="0" applyFont="1" applyAlignment="1">
      <alignment vertical="top"/>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20" fillId="0" borderId="44" xfId="0" applyFont="1" applyBorder="1"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37" fillId="20" borderId="4" xfId="0" applyFont="1" applyFill="1" applyBorder="1" applyAlignment="1">
      <alignment vertical="center" wrapText="1"/>
    </xf>
    <xf numFmtId="0" fontId="2" fillId="0" borderId="0" xfId="0" applyFont="1" applyAlignment="1">
      <alignment horizontal="center" vertical="center"/>
    </xf>
    <xf numFmtId="0" fontId="0" fillId="0" borderId="71" xfId="0" applyBorder="1" applyAlignment="1">
      <alignment vertical="center" wrapText="1"/>
    </xf>
    <xf numFmtId="0" fontId="0" fillId="0" borderId="76" xfId="0" applyBorder="1" applyAlignment="1">
      <alignment vertical="center" wrapText="1"/>
    </xf>
    <xf numFmtId="0" fontId="0" fillId="0" borderId="3" xfId="0" applyBorder="1" applyAlignment="1">
      <alignment horizontal="center" vertical="center"/>
    </xf>
    <xf numFmtId="0" fontId="3" fillId="2" borderId="19" xfId="0" applyFont="1" applyFill="1" applyBorder="1" applyAlignment="1">
      <alignment horizontal="left" vertical="center" wrapText="1"/>
    </xf>
    <xf numFmtId="0" fontId="0" fillId="0" borderId="28" xfId="0" applyBorder="1" applyAlignment="1">
      <alignment vertical="center" wrapText="1"/>
    </xf>
    <xf numFmtId="0" fontId="0" fillId="0" borderId="64" xfId="0"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alignment horizontal="center" vertical="center"/>
    </xf>
    <xf numFmtId="42" fontId="11" fillId="3" borderId="3" xfId="0" applyNumberFormat="1" applyFont="1" applyFill="1" applyBorder="1"/>
    <xf numFmtId="42" fontId="0" fillId="10" borderId="9" xfId="0" applyNumberFormat="1" applyFill="1" applyBorder="1"/>
    <xf numFmtId="42" fontId="11" fillId="3" borderId="48" xfId="0" applyNumberFormat="1" applyFont="1" applyFill="1" applyBorder="1" applyAlignment="1">
      <alignment horizontal="center"/>
    </xf>
    <xf numFmtId="42" fontId="11" fillId="3" borderId="5" xfId="0" applyNumberFormat="1" applyFont="1" applyFill="1" applyBorder="1" applyAlignment="1">
      <alignment horizontal="center"/>
    </xf>
    <xf numFmtId="42" fontId="0" fillId="10" borderId="53" xfId="0" applyNumberFormat="1" applyFill="1" applyBorder="1" applyAlignment="1">
      <alignment horizontal="center"/>
    </xf>
    <xf numFmtId="42" fontId="11" fillId="3" borderId="40" xfId="0" applyNumberFormat="1" applyFont="1" applyFill="1" applyBorder="1" applyAlignment="1">
      <alignment horizontal="center"/>
    </xf>
    <xf numFmtId="42" fontId="11" fillId="3" borderId="4" xfId="0" applyNumberFormat="1" applyFont="1" applyFill="1" applyBorder="1" applyAlignment="1">
      <alignment horizontal="center"/>
    </xf>
    <xf numFmtId="42" fontId="11" fillId="3" borderId="70" xfId="0" applyNumberFormat="1" applyFont="1" applyFill="1" applyBorder="1" applyAlignment="1">
      <alignment horizontal="center"/>
    </xf>
    <xf numFmtId="42" fontId="11" fillId="3" borderId="3" xfId="0" applyNumberFormat="1" applyFont="1" applyFill="1" applyBorder="1" applyAlignment="1">
      <alignment horizontal="center"/>
    </xf>
    <xf numFmtId="0" fontId="3" fillId="14" borderId="36" xfId="0" applyFont="1" applyFill="1" applyBorder="1" applyAlignment="1">
      <alignment horizontal="center" vertical="center"/>
    </xf>
    <xf numFmtId="0" fontId="3" fillId="14" borderId="4" xfId="0" applyFont="1" applyFill="1" applyBorder="1" applyAlignment="1">
      <alignment horizontal="right" vertical="center" wrapText="1"/>
    </xf>
    <xf numFmtId="0" fontId="41" fillId="14" borderId="4" xfId="0" applyFont="1" applyFill="1" applyBorder="1" applyAlignment="1">
      <alignment horizontal="right" vertical="center" wrapText="1"/>
    </xf>
    <xf numFmtId="0" fontId="27" fillId="14" borderId="4" xfId="0" applyFont="1" applyFill="1" applyBorder="1" applyAlignment="1">
      <alignment horizontal="right" vertical="center" wrapText="1"/>
    </xf>
    <xf numFmtId="0" fontId="43" fillId="14" borderId="4" xfId="0" applyFont="1" applyFill="1" applyBorder="1" applyAlignment="1">
      <alignment horizontal="right" vertical="center" wrapText="1"/>
    </xf>
    <xf numFmtId="0" fontId="9" fillId="0" borderId="58" xfId="1" applyFont="1" applyBorder="1" applyAlignment="1">
      <alignment horizontal="left" vertical="top"/>
    </xf>
    <xf numFmtId="0" fontId="9" fillId="0" borderId="58" xfId="1" applyFont="1" applyBorder="1" applyAlignment="1">
      <alignment vertical="top"/>
    </xf>
    <xf numFmtId="0" fontId="0" fillId="0" borderId="72" xfId="0" applyBorder="1"/>
    <xf numFmtId="0" fontId="0" fillId="0" borderId="9" xfId="0" applyBorder="1"/>
    <xf numFmtId="0" fontId="0" fillId="0" borderId="8" xfId="0" applyBorder="1" applyAlignment="1">
      <alignment horizontal="center"/>
    </xf>
    <xf numFmtId="0" fontId="3" fillId="0" borderId="27" xfId="0" applyFont="1" applyBorder="1" applyAlignment="1">
      <alignment horizontal="center" vertical="center"/>
    </xf>
    <xf numFmtId="0" fontId="3" fillId="14" borderId="40" xfId="0" applyFont="1" applyFill="1" applyBorder="1" applyAlignment="1">
      <alignment horizontal="center" vertical="center"/>
    </xf>
    <xf numFmtId="0" fontId="2" fillId="14" borderId="4" xfId="0" applyFont="1" applyFill="1" applyBorder="1" applyAlignment="1">
      <alignment horizontal="right" vertical="center" wrapText="1"/>
    </xf>
    <xf numFmtId="0" fontId="27" fillId="3" borderId="4" xfId="0" applyFont="1" applyFill="1" applyBorder="1" applyAlignment="1">
      <alignment horizontal="right" vertical="center" wrapText="1"/>
    </xf>
    <xf numFmtId="0" fontId="3" fillId="20" borderId="40" xfId="0" applyFont="1" applyFill="1" applyBorder="1" applyAlignment="1">
      <alignment horizontal="center" vertical="center"/>
    </xf>
    <xf numFmtId="0" fontId="3" fillId="0" borderId="38" xfId="0" quotePrefix="1" applyFont="1" applyBorder="1" applyAlignment="1">
      <alignment horizontal="center" vertical="center"/>
    </xf>
    <xf numFmtId="0" fontId="3" fillId="0" borderId="37" xfId="0" quotePrefix="1" applyFont="1" applyBorder="1" applyAlignment="1">
      <alignment horizontal="center" vertical="center"/>
    </xf>
    <xf numFmtId="0" fontId="3" fillId="0" borderId="39" xfId="0" quotePrefix="1" applyFont="1" applyBorder="1" applyAlignment="1">
      <alignment horizontal="center" vertical="center"/>
    </xf>
    <xf numFmtId="0" fontId="3" fillId="0" borderId="41" xfId="0" quotePrefix="1"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6" borderId="40" xfId="0" applyFont="1" applyFill="1" applyBorder="1" applyAlignment="1">
      <alignment horizontal="center" vertical="center"/>
    </xf>
    <xf numFmtId="0" fontId="11" fillId="0" borderId="39" xfId="0" quotePrefix="1" applyFont="1" applyBorder="1" applyAlignment="1">
      <alignment horizontal="center" vertical="center"/>
    </xf>
    <xf numFmtId="0" fontId="3" fillId="14" borderId="40" xfId="0" quotePrefix="1" applyFont="1" applyFill="1" applyBorder="1" applyAlignment="1">
      <alignment horizontal="center" vertical="center"/>
    </xf>
    <xf numFmtId="0" fontId="3" fillId="0" borderId="42" xfId="0" quotePrefix="1" applyFont="1" applyBorder="1" applyAlignment="1">
      <alignment horizontal="center" vertical="center"/>
    </xf>
    <xf numFmtId="0" fontId="3" fillId="0" borderId="37" xfId="0" applyFont="1" applyBorder="1" applyAlignment="1">
      <alignment horizontal="center" vertical="center"/>
    </xf>
    <xf numFmtId="0" fontId="3" fillId="3" borderId="40" xfId="0" applyFont="1" applyFill="1" applyBorder="1" applyAlignment="1">
      <alignment horizontal="center" vertical="center"/>
    </xf>
    <xf numFmtId="0" fontId="2" fillId="14" borderId="40" xfId="0" applyFont="1" applyFill="1" applyBorder="1" applyAlignment="1">
      <alignment horizontal="center" vertical="center"/>
    </xf>
    <xf numFmtId="0" fontId="3" fillId="0" borderId="38" xfId="0" applyFont="1" applyBorder="1" applyAlignment="1">
      <alignment horizontal="center" vertical="center"/>
    </xf>
    <xf numFmtId="0" fontId="2" fillId="14" borderId="40" xfId="0" quotePrefix="1" applyFont="1" applyFill="1" applyBorder="1" applyAlignment="1">
      <alignment horizontal="center" vertical="center"/>
    </xf>
    <xf numFmtId="164" fontId="3" fillId="8" borderId="37" xfId="0" quotePrefix="1" applyNumberFormat="1" applyFont="1" applyFill="1" applyBorder="1" applyAlignment="1">
      <alignment horizontal="center" vertical="center"/>
    </xf>
    <xf numFmtId="0" fontId="3" fillId="3" borderId="40" xfId="0" quotePrefix="1" applyFont="1" applyFill="1" applyBorder="1" applyAlignment="1">
      <alignment horizontal="center" vertical="center"/>
    </xf>
    <xf numFmtId="42" fontId="0" fillId="15" borderId="1" xfId="0" applyNumberFormat="1" applyFill="1" applyBorder="1" applyAlignment="1">
      <alignment horizontal="center" vertical="center"/>
    </xf>
    <xf numFmtId="0" fontId="0" fillId="0" borderId="9" xfId="0" applyBorder="1" applyAlignment="1">
      <alignment horizontal="center"/>
    </xf>
    <xf numFmtId="0" fontId="3" fillId="10" borderId="59" xfId="0" applyFont="1" applyFill="1" applyBorder="1" applyAlignment="1">
      <alignment horizontal="center"/>
    </xf>
    <xf numFmtId="0" fontId="3" fillId="10" borderId="63" xfId="0" applyFont="1" applyFill="1" applyBorder="1" applyAlignment="1">
      <alignment horizontal="center"/>
    </xf>
    <xf numFmtId="42" fontId="0" fillId="10" borderId="15" xfId="0" applyNumberFormat="1" applyFill="1" applyBorder="1"/>
    <xf numFmtId="42" fontId="0" fillId="15" borderId="11" xfId="0" applyNumberFormat="1" applyFill="1" applyBorder="1" applyAlignment="1">
      <alignment horizontal="center" vertical="center"/>
    </xf>
    <xf numFmtId="42" fontId="0" fillId="15" borderId="20" xfId="0" applyNumberFormat="1" applyFill="1" applyBorder="1" applyAlignment="1">
      <alignment horizontal="center" vertical="center"/>
    </xf>
    <xf numFmtId="42" fontId="0" fillId="15" borderId="38" xfId="0" applyNumberFormat="1" applyFill="1" applyBorder="1" applyAlignment="1">
      <alignment horizontal="center" vertical="center"/>
    </xf>
    <xf numFmtId="0" fontId="9" fillId="15" borderId="45" xfId="0" applyFont="1" applyFill="1" applyBorder="1" applyAlignment="1">
      <alignment vertical="center"/>
    </xf>
    <xf numFmtId="42" fontId="0" fillId="15" borderId="37" xfId="0" applyNumberFormat="1" applyFill="1" applyBorder="1" applyAlignment="1">
      <alignment horizontal="center" vertical="center"/>
    </xf>
    <xf numFmtId="0" fontId="9" fillId="15" borderId="46" xfId="0" applyFont="1" applyFill="1" applyBorder="1" applyAlignment="1">
      <alignment vertical="center"/>
    </xf>
    <xf numFmtId="0" fontId="9" fillId="15" borderId="47" xfId="0" applyFont="1" applyFill="1" applyBorder="1" applyAlignment="1">
      <alignment vertical="center"/>
    </xf>
    <xf numFmtId="0" fontId="9" fillId="15" borderId="31" xfId="0" applyFont="1" applyFill="1" applyBorder="1" applyAlignment="1">
      <alignment vertical="center"/>
    </xf>
    <xf numFmtId="0" fontId="9" fillId="15" borderId="58" xfId="0" applyFont="1" applyFill="1" applyBorder="1" applyAlignment="1">
      <alignment vertical="center"/>
    </xf>
    <xf numFmtId="0" fontId="9" fillId="15" borderId="32" xfId="0" applyFont="1" applyFill="1" applyBorder="1" applyAlignment="1">
      <alignment vertical="center"/>
    </xf>
    <xf numFmtId="42" fontId="0" fillId="15" borderId="39" xfId="0" applyNumberFormat="1" applyFill="1" applyBorder="1" applyAlignment="1">
      <alignment horizontal="center" vertical="center"/>
    </xf>
    <xf numFmtId="0" fontId="9" fillId="15" borderId="71" xfId="0" applyFont="1" applyFill="1" applyBorder="1" applyAlignment="1">
      <alignment vertical="center"/>
    </xf>
    <xf numFmtId="0" fontId="3" fillId="21" borderId="36" xfId="0" applyFont="1" applyFill="1" applyBorder="1" applyAlignment="1">
      <alignment horizontal="right" vertical="center"/>
    </xf>
    <xf numFmtId="167" fontId="3" fillId="21" borderId="5" xfId="0" applyNumberFormat="1" applyFont="1" applyFill="1" applyBorder="1" applyAlignment="1">
      <alignment horizontal="center" vertical="center"/>
    </xf>
    <xf numFmtId="44" fontId="3" fillId="15" borderId="26" xfId="0" applyNumberFormat="1" applyFont="1" applyFill="1" applyBorder="1" applyAlignment="1">
      <alignment vertical="center"/>
    </xf>
    <xf numFmtId="44" fontId="3" fillId="12" borderId="15" xfId="0" applyNumberFormat="1" applyFont="1" applyFill="1" applyBorder="1" applyAlignment="1">
      <alignment horizontal="center" vertical="center"/>
    </xf>
    <xf numFmtId="44" fontId="3" fillId="12" borderId="10"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26" xfId="0" applyNumberFormat="1" applyFont="1" applyFill="1" applyBorder="1" applyAlignment="1">
      <alignment horizontal="center" vertical="center"/>
    </xf>
    <xf numFmtId="173" fontId="3" fillId="12" borderId="53" xfId="0" applyNumberFormat="1" applyFont="1" applyFill="1" applyBorder="1" applyAlignment="1">
      <alignment horizontal="center" vertical="center"/>
    </xf>
    <xf numFmtId="173" fontId="3" fillId="12" borderId="54" xfId="0" applyNumberFormat="1" applyFont="1" applyFill="1" applyBorder="1" applyAlignment="1">
      <alignment horizontal="center" vertical="center"/>
    </xf>
    <xf numFmtId="173" fontId="3" fillId="12" borderId="57" xfId="0" applyNumberFormat="1" applyFont="1" applyFill="1" applyBorder="1" applyAlignment="1">
      <alignment horizontal="center" vertical="center"/>
    </xf>
    <xf numFmtId="0" fontId="3" fillId="12" borderId="24" xfId="0" applyFont="1" applyFill="1" applyBorder="1" applyAlignment="1">
      <alignment horizontal="center" vertical="center"/>
    </xf>
    <xf numFmtId="0" fontId="3" fillId="2" borderId="3" xfId="0" applyFont="1" applyFill="1" applyBorder="1"/>
    <xf numFmtId="0" fontId="3" fillId="2" borderId="48" xfId="0" applyFont="1" applyFill="1" applyBorder="1" applyAlignment="1">
      <alignment horizontal="center"/>
    </xf>
    <xf numFmtId="1" fontId="3" fillId="15" borderId="3" xfId="0" applyNumberFormat="1" applyFont="1" applyFill="1"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43" xfId="0" applyBorder="1" applyAlignment="1">
      <alignment horizontal="center"/>
    </xf>
    <xf numFmtId="0" fontId="3" fillId="2" borderId="36" xfId="0" applyFont="1" applyFill="1" applyBorder="1" applyAlignment="1">
      <alignment horizontal="center"/>
    </xf>
    <xf numFmtId="0" fontId="3" fillId="2" borderId="4" xfId="0" applyFont="1" applyFill="1" applyBorder="1"/>
    <xf numFmtId="0" fontId="3" fillId="2" borderId="4" xfId="0" applyFont="1" applyFill="1" applyBorder="1" applyAlignment="1">
      <alignment horizontal="center"/>
    </xf>
    <xf numFmtId="0" fontId="3" fillId="2" borderId="5" xfId="0" applyFont="1" applyFill="1" applyBorder="1"/>
    <xf numFmtId="0" fontId="3" fillId="2" borderId="5" xfId="0" applyFont="1" applyFill="1" applyBorder="1" applyAlignment="1">
      <alignment horizontal="center"/>
    </xf>
    <xf numFmtId="44" fontId="0" fillId="15" borderId="17" xfId="0" applyNumberFormat="1" applyFill="1" applyBorder="1"/>
    <xf numFmtId="175" fontId="0" fillId="15" borderId="18" xfId="0" applyNumberFormat="1" applyFill="1" applyBorder="1" applyAlignment="1">
      <alignment horizontal="center"/>
    </xf>
    <xf numFmtId="44" fontId="0" fillId="15" borderId="20" xfId="0" applyNumberFormat="1" applyFill="1" applyBorder="1"/>
    <xf numFmtId="175" fontId="0" fillId="15" borderId="21" xfId="0" applyNumberFormat="1" applyFill="1" applyBorder="1" applyAlignment="1">
      <alignment horizontal="center"/>
    </xf>
    <xf numFmtId="175" fontId="0" fillId="15" borderId="17" xfId="0" applyNumberFormat="1" applyFill="1" applyBorder="1" applyAlignment="1">
      <alignment horizontal="center"/>
    </xf>
    <xf numFmtId="0" fontId="0" fillId="15" borderId="18" xfId="0" applyFill="1" applyBorder="1"/>
    <xf numFmtId="175" fontId="0" fillId="15" borderId="1" xfId="0" applyNumberFormat="1" applyFill="1" applyBorder="1" applyAlignment="1">
      <alignment horizontal="center"/>
    </xf>
    <xf numFmtId="0" fontId="0" fillId="15" borderId="13" xfId="0" applyFill="1" applyBorder="1"/>
    <xf numFmtId="175" fontId="0" fillId="15" borderId="20" xfId="0" applyNumberFormat="1" applyFill="1" applyBorder="1" applyAlignment="1">
      <alignment horizontal="center"/>
    </xf>
    <xf numFmtId="0" fontId="0" fillId="15" borderId="21" xfId="0" applyFill="1" applyBorder="1"/>
    <xf numFmtId="42" fontId="3" fillId="2" borderId="5" xfId="0" applyNumberFormat="1" applyFont="1" applyFill="1" applyBorder="1" applyAlignment="1">
      <alignment horizontal="center"/>
    </xf>
    <xf numFmtId="44" fontId="3" fillId="2" borderId="4" xfId="0" applyNumberFormat="1" applyFont="1" applyFill="1" applyBorder="1" applyAlignment="1">
      <alignment horizontal="center" vertical="center"/>
    </xf>
    <xf numFmtId="44" fontId="3" fillId="3" borderId="28" xfId="0" applyNumberFormat="1" applyFont="1" applyFill="1" applyBorder="1" applyAlignment="1">
      <alignment vertical="center"/>
    </xf>
    <xf numFmtId="6" fontId="11" fillId="3" borderId="3" xfId="1" applyNumberFormat="1" applyFont="1" applyFill="1" applyBorder="1" applyAlignment="1">
      <alignment horizontal="center" vertical="top"/>
    </xf>
    <xf numFmtId="6" fontId="11" fillId="3" borderId="51" xfId="1" applyNumberFormat="1" applyFont="1" applyFill="1" applyBorder="1" applyAlignment="1">
      <alignment horizontal="center" vertical="top"/>
    </xf>
    <xf numFmtId="6" fontId="24" fillId="0" borderId="0" xfId="1" applyNumberFormat="1" applyFont="1" applyAlignment="1">
      <alignment horizontal="center" vertical="top"/>
    </xf>
    <xf numFmtId="0" fontId="3" fillId="2" borderId="40" xfId="0" applyFont="1" applyFill="1" applyBorder="1" applyAlignment="1">
      <alignment horizontal="center" vertical="center"/>
    </xf>
    <xf numFmtId="0" fontId="0" fillId="14" borderId="59" xfId="0" applyFill="1" applyBorder="1" applyAlignment="1">
      <alignment horizontal="center"/>
    </xf>
    <xf numFmtId="42" fontId="0" fillId="15" borderId="13" xfId="0" applyNumberFormat="1" applyFill="1" applyBorder="1" applyAlignment="1">
      <alignment horizontal="center"/>
    </xf>
    <xf numFmtId="44" fontId="3" fillId="0" borderId="56" xfId="0" applyNumberFormat="1" applyFont="1" applyBorder="1" applyAlignment="1">
      <alignment horizontal="center" vertical="center"/>
    </xf>
    <xf numFmtId="42" fontId="9" fillId="3" borderId="3" xfId="0" applyNumberFormat="1" applyFont="1" applyFill="1" applyBorder="1"/>
    <xf numFmtId="0" fontId="3" fillId="2" borderId="60" xfId="0" applyFont="1" applyFill="1" applyBorder="1" applyAlignment="1">
      <alignment horizontal="center"/>
    </xf>
    <xf numFmtId="0" fontId="3" fillId="0" borderId="0" xfId="0" applyFont="1" applyAlignment="1">
      <alignment horizontal="right" vertical="center" wrapText="1"/>
    </xf>
    <xf numFmtId="44" fontId="3" fillId="12" borderId="10" xfId="0" applyNumberFormat="1" applyFont="1" applyFill="1" applyBorder="1" applyAlignment="1">
      <alignment vertical="center"/>
    </xf>
    <xf numFmtId="44" fontId="3" fillId="3" borderId="19" xfId="0" applyNumberFormat="1" applyFont="1" applyFill="1" applyBorder="1" applyAlignment="1">
      <alignment vertical="center"/>
    </xf>
    <xf numFmtId="0" fontId="9" fillId="15" borderId="1" xfId="0" applyFont="1" applyFill="1" applyBorder="1" applyAlignment="1">
      <alignment horizontal="left"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0" fontId="0" fillId="0" borderId="1" xfId="0" applyBorder="1"/>
    <xf numFmtId="0" fontId="0" fillId="0" borderId="20" xfId="0" applyBorder="1"/>
    <xf numFmtId="175" fontId="0" fillId="0" borderId="0" xfId="0" applyNumberFormat="1" applyAlignment="1">
      <alignment horizontal="center"/>
    </xf>
    <xf numFmtId="175" fontId="3" fillId="2" borderId="36" xfId="0" applyNumberFormat="1" applyFont="1" applyFill="1" applyBorder="1" applyAlignment="1">
      <alignment horizontal="center"/>
    </xf>
    <xf numFmtId="175" fontId="0" fillId="0" borderId="34" xfId="0" applyNumberFormat="1" applyBorder="1" applyAlignment="1">
      <alignment horizontal="center"/>
    </xf>
    <xf numFmtId="175" fontId="0" fillId="0" borderId="35" xfId="0" applyNumberFormat="1" applyBorder="1" applyAlignment="1">
      <alignment horizontal="center"/>
    </xf>
    <xf numFmtId="175" fontId="0" fillId="20" borderId="19" xfId="0" applyNumberFormat="1" applyFill="1" applyBorder="1" applyAlignment="1">
      <alignment horizontal="center"/>
    </xf>
    <xf numFmtId="0" fontId="0" fillId="20" borderId="28" xfId="0" applyFill="1" applyBorder="1"/>
    <xf numFmtId="0" fontId="37" fillId="20" borderId="48" xfId="0" applyFont="1" applyFill="1" applyBorder="1"/>
    <xf numFmtId="175" fontId="2" fillId="20" borderId="28" xfId="0" applyNumberFormat="1" applyFont="1" applyFill="1" applyBorder="1" applyAlignment="1">
      <alignment horizontal="center"/>
    </xf>
    <xf numFmtId="175" fontId="37" fillId="20" borderId="48" xfId="0" applyNumberFormat="1" applyFont="1" applyFill="1" applyBorder="1" applyAlignment="1">
      <alignment horizontal="left"/>
    </xf>
    <xf numFmtId="0" fontId="3" fillId="0" borderId="1" xfId="0" quotePrefix="1" applyFont="1" applyBorder="1" applyAlignment="1">
      <alignment horizontal="center" vertical="center"/>
    </xf>
    <xf numFmtId="0" fontId="3" fillId="2" borderId="70" xfId="0" applyFont="1" applyFill="1" applyBorder="1" applyAlignment="1">
      <alignment vertical="center" wrapText="1"/>
    </xf>
    <xf numFmtId="0" fontId="9" fillId="22" borderId="20" xfId="0" applyFont="1" applyFill="1" applyBorder="1" applyAlignment="1">
      <alignment vertical="center" wrapText="1"/>
    </xf>
    <xf numFmtId="0" fontId="3" fillId="11" borderId="40" xfId="0" applyFont="1" applyFill="1" applyBorder="1" applyAlignment="1">
      <alignment horizontal="center" vertical="center"/>
    </xf>
    <xf numFmtId="0" fontId="3" fillId="0" borderId="1" xfId="0" applyFont="1" applyBorder="1" applyAlignment="1">
      <alignment horizontal="right" vertical="center" wrapText="1"/>
    </xf>
    <xf numFmtId="0" fontId="3" fillId="15" borderId="1" xfId="0" quotePrefix="1" applyFont="1" applyFill="1" applyBorder="1" applyAlignment="1">
      <alignment horizontal="center" vertical="center"/>
    </xf>
    <xf numFmtId="0" fontId="3" fillId="14" borderId="1" xfId="0" applyFont="1" applyFill="1" applyBorder="1" applyAlignment="1">
      <alignment horizontal="center" vertical="center"/>
    </xf>
    <xf numFmtId="42" fontId="3" fillId="14" borderId="1" xfId="0" applyNumberFormat="1" applyFont="1" applyFill="1" applyBorder="1" applyAlignment="1">
      <alignment horizontal="center" vertical="center"/>
    </xf>
    <xf numFmtId="0" fontId="41" fillId="14" borderId="1" xfId="0" applyFont="1" applyFill="1" applyBorder="1" applyAlignment="1">
      <alignment horizontal="right" vertical="center" wrapText="1"/>
    </xf>
    <xf numFmtId="0" fontId="3" fillId="15" borderId="1" xfId="0" applyFont="1" applyFill="1" applyBorder="1" applyAlignment="1">
      <alignment horizontal="right" vertical="center" wrapText="1"/>
    </xf>
    <xf numFmtId="0" fontId="2" fillId="0" borderId="1" xfId="0" applyFont="1" applyBorder="1" applyAlignment="1">
      <alignment horizontal="right" vertical="center" wrapText="1"/>
    </xf>
    <xf numFmtId="42" fontId="3" fillId="15" borderId="1" xfId="0" applyNumberFormat="1" applyFont="1" applyFill="1" applyBorder="1" applyAlignment="1">
      <alignment horizontal="right" vertical="center"/>
    </xf>
    <xf numFmtId="0" fontId="3" fillId="0" borderId="17" xfId="0" applyFont="1" applyBorder="1" applyAlignment="1">
      <alignment horizontal="center" vertical="center"/>
    </xf>
    <xf numFmtId="42" fontId="3" fillId="0" borderId="17" xfId="0" applyNumberFormat="1" applyFont="1" applyBorder="1" applyAlignment="1">
      <alignment horizontal="center" vertical="center"/>
    </xf>
    <xf numFmtId="44" fontId="3" fillId="0" borderId="0" xfId="0" applyNumberFormat="1" applyFont="1" applyAlignment="1">
      <alignment horizontal="center" vertical="center"/>
    </xf>
    <xf numFmtId="0" fontId="3" fillId="12" borderId="8" xfId="0" applyFont="1" applyFill="1" applyBorder="1" applyAlignment="1">
      <alignment horizontal="center" vertical="center"/>
    </xf>
    <xf numFmtId="42" fontId="3" fillId="15" borderId="8" xfId="0" applyNumberFormat="1" applyFont="1" applyFill="1" applyBorder="1" applyAlignment="1">
      <alignment horizontal="center" vertical="center"/>
    </xf>
    <xf numFmtId="42" fontId="3" fillId="15" borderId="9" xfId="0" applyNumberFormat="1" applyFont="1" applyFill="1" applyBorder="1" applyAlignment="1">
      <alignment horizontal="center" vertical="center"/>
    </xf>
    <xf numFmtId="42" fontId="3" fillId="12" borderId="9" xfId="0" applyNumberFormat="1" applyFont="1" applyFill="1" applyBorder="1" applyAlignment="1">
      <alignment horizontal="center" vertical="center"/>
    </xf>
    <xf numFmtId="42" fontId="3" fillId="15" borderId="26" xfId="0" applyNumberFormat="1" applyFont="1" applyFill="1" applyBorder="1" applyAlignment="1">
      <alignment horizontal="center" vertical="center"/>
    </xf>
    <xf numFmtId="0" fontId="2" fillId="0" borderId="0" xfId="0" applyFont="1" applyAlignment="1">
      <alignment vertical="top" wrapText="1"/>
    </xf>
    <xf numFmtId="0" fontId="3" fillId="2" borderId="61" xfId="0" applyFont="1" applyFill="1" applyBorder="1" applyAlignment="1">
      <alignment vertical="center" wrapText="1"/>
    </xf>
    <xf numFmtId="44" fontId="3" fillId="2" borderId="66" xfId="0" applyNumberFormat="1" applyFont="1" applyFill="1" applyBorder="1" applyAlignment="1">
      <alignment vertical="center"/>
    </xf>
    <xf numFmtId="0" fontId="3" fillId="12" borderId="26" xfId="0" applyFont="1" applyFill="1" applyBorder="1" applyAlignment="1">
      <alignment horizontal="center" vertical="center"/>
    </xf>
    <xf numFmtId="0" fontId="15" fillId="2" borderId="36" xfId="0" applyFont="1" applyFill="1" applyBorder="1" applyAlignment="1">
      <alignment horizontal="left" vertical="center" wrapText="1" indent="1"/>
    </xf>
    <xf numFmtId="0" fontId="8" fillId="15" borderId="17" xfId="0" applyFont="1" applyFill="1" applyBorder="1" applyAlignment="1">
      <alignment vertical="center" wrapText="1"/>
    </xf>
    <xf numFmtId="0" fontId="0" fillId="15" borderId="1" xfId="0" applyFill="1" applyBorder="1" applyAlignment="1">
      <alignment horizontal="left" vertical="center"/>
    </xf>
    <xf numFmtId="0" fontId="3" fillId="3" borderId="4" xfId="0" applyFont="1" applyFill="1" applyBorder="1" applyAlignment="1">
      <alignment horizontal="right" vertical="center" wrapText="1"/>
    </xf>
    <xf numFmtId="0" fontId="0" fillId="0" borderId="25" xfId="0" applyBorder="1" applyAlignment="1">
      <alignment vertical="center" wrapText="1"/>
    </xf>
    <xf numFmtId="10" fontId="3" fillId="3" borderId="3" xfId="0" applyNumberFormat="1" applyFont="1" applyFill="1" applyBorder="1" applyAlignment="1">
      <alignment horizontal="center" vertical="center"/>
    </xf>
    <xf numFmtId="167" fontId="3" fillId="2" borderId="49" xfId="0" applyNumberFormat="1" applyFont="1" applyFill="1" applyBorder="1" applyAlignment="1">
      <alignment horizontal="center" vertical="center"/>
    </xf>
    <xf numFmtId="0" fontId="0" fillId="0" borderId="1" xfId="0" applyBorder="1" applyAlignment="1">
      <alignment horizontal="right" vertical="center"/>
    </xf>
    <xf numFmtId="42" fontId="3" fillId="15" borderId="6" xfId="0" applyNumberFormat="1" applyFont="1" applyFill="1" applyBorder="1" applyAlignment="1">
      <alignment horizontal="center" vertical="center"/>
    </xf>
    <xf numFmtId="42" fontId="3" fillId="0" borderId="1" xfId="0" applyNumberFormat="1" applyFont="1" applyBorder="1" applyAlignment="1">
      <alignment horizontal="center" vertical="center" wrapText="1"/>
    </xf>
    <xf numFmtId="0" fontId="9" fillId="0" borderId="20" xfId="0" applyFont="1" applyBorder="1" applyAlignment="1">
      <alignment vertical="center" wrapText="1"/>
    </xf>
    <xf numFmtId="44" fontId="0" fillId="15" borderId="9" xfId="0" applyNumberFormat="1" applyFill="1" applyBorder="1" applyAlignment="1">
      <alignment horizontal="center" vertical="center"/>
    </xf>
    <xf numFmtId="44" fontId="0" fillId="15" borderId="10" xfId="0" applyNumberFormat="1" applyFill="1" applyBorder="1" applyAlignment="1">
      <alignment horizontal="center" vertical="center"/>
    </xf>
    <xf numFmtId="0" fontId="0" fillId="0" borderId="14" xfId="0" applyBorder="1" applyAlignment="1">
      <alignment horizontal="center" vertical="center"/>
    </xf>
    <xf numFmtId="44" fontId="0" fillId="15" borderId="15" xfId="0" applyNumberFormat="1" applyFill="1" applyBorder="1" applyAlignment="1">
      <alignment horizontal="center" vertical="center"/>
    </xf>
    <xf numFmtId="0" fontId="48" fillId="0" borderId="0" xfId="2" applyFont="1" applyAlignment="1">
      <alignment vertical="center"/>
    </xf>
    <xf numFmtId="0" fontId="0" fillId="0" borderId="55" xfId="0" applyBorder="1" applyAlignment="1">
      <alignment horizontal="center" vertical="center"/>
    </xf>
    <xf numFmtId="0" fontId="3" fillId="2" borderId="0" xfId="0" applyFont="1" applyFill="1" applyAlignment="1">
      <alignment vertical="center" wrapText="1"/>
    </xf>
    <xf numFmtId="0" fontId="3" fillId="0" borderId="0" xfId="0" applyFont="1" applyAlignment="1">
      <alignment horizontal="right" vertical="center"/>
    </xf>
    <xf numFmtId="44" fontId="3" fillId="3" borderId="28" xfId="0" applyNumberFormat="1" applyFont="1" applyFill="1" applyBorder="1" applyAlignment="1">
      <alignment horizontal="center" vertical="center"/>
    </xf>
    <xf numFmtId="0" fontId="2" fillId="0" borderId="0" xfId="0" applyFont="1" applyAlignment="1">
      <alignment horizontal="left" vertical="center"/>
    </xf>
    <xf numFmtId="42" fontId="0" fillId="0" borderId="0" xfId="0" applyNumberFormat="1" applyAlignment="1">
      <alignment vertical="center"/>
    </xf>
    <xf numFmtId="0" fontId="3" fillId="12" borderId="56" xfId="0" applyFont="1" applyFill="1" applyBorder="1" applyAlignment="1">
      <alignment horizontal="center" vertical="center"/>
    </xf>
    <xf numFmtId="0" fontId="3" fillId="12" borderId="57" xfId="0" applyFont="1" applyFill="1" applyBorder="1" applyAlignment="1">
      <alignment horizontal="center" vertical="center"/>
    </xf>
    <xf numFmtId="0" fontId="0" fillId="0" borderId="15" xfId="0" applyBorder="1" applyAlignment="1">
      <alignment vertical="center"/>
    </xf>
    <xf numFmtId="0" fontId="0" fillId="0" borderId="26" xfId="0" applyBorder="1" applyAlignment="1">
      <alignment horizontal="left" vertical="center"/>
    </xf>
    <xf numFmtId="0" fontId="0" fillId="0" borderId="15" xfId="0" applyBorder="1" applyAlignment="1">
      <alignment horizontal="left" vertical="center"/>
    </xf>
    <xf numFmtId="1" fontId="3" fillId="12" borderId="71" xfId="0" applyNumberFormat="1" applyFont="1" applyFill="1" applyBorder="1" applyAlignment="1">
      <alignment horizontal="center" vertical="center"/>
    </xf>
    <xf numFmtId="42" fontId="3" fillId="12" borderId="47" xfId="0" applyNumberFormat="1" applyFont="1" applyFill="1" applyBorder="1" applyAlignment="1">
      <alignment horizontal="center" vertical="center"/>
    </xf>
    <xf numFmtId="0" fontId="0" fillId="0" borderId="37" xfId="0" applyBorder="1" applyAlignment="1">
      <alignment vertical="center" wrapText="1"/>
    </xf>
    <xf numFmtId="10" fontId="3" fillId="12" borderId="9" xfId="0" applyNumberFormat="1" applyFont="1" applyFill="1" applyBorder="1" applyAlignment="1">
      <alignment horizontal="center" vertical="center"/>
    </xf>
    <xf numFmtId="0" fontId="0" fillId="0" borderId="42" xfId="0" applyBorder="1" applyAlignment="1">
      <alignment vertical="center" wrapText="1"/>
    </xf>
    <xf numFmtId="10" fontId="3" fillId="12" borderId="10" xfId="0" applyNumberFormat="1" applyFont="1" applyFill="1" applyBorder="1" applyAlignment="1">
      <alignment horizontal="center" vertical="center"/>
    </xf>
    <xf numFmtId="0" fontId="0" fillId="0" borderId="41" xfId="0" applyBorder="1" applyAlignment="1">
      <alignment vertical="center" wrapText="1"/>
    </xf>
    <xf numFmtId="0" fontId="58" fillId="0" borderId="0" xfId="0" applyFont="1" applyAlignment="1">
      <alignment horizontal="left" vertical="center"/>
    </xf>
    <xf numFmtId="44" fontId="44" fillId="17" borderId="0" xfId="0" applyNumberFormat="1" applyFont="1" applyFill="1" applyAlignment="1">
      <alignment vertical="center"/>
    </xf>
    <xf numFmtId="44" fontId="3" fillId="2" borderId="22" xfId="0" applyNumberFormat="1" applyFont="1" applyFill="1" applyBorder="1" applyAlignment="1">
      <alignment horizontal="center" vertical="center"/>
    </xf>
    <xf numFmtId="0" fontId="2" fillId="0" borderId="0" xfId="0" applyFont="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24" xfId="0" applyBorder="1" applyAlignment="1">
      <alignment horizontal="center" vertical="center"/>
    </xf>
    <xf numFmtId="0" fontId="0" fillId="0" borderId="46" xfId="0" quotePrefix="1" applyBorder="1" applyAlignment="1">
      <alignment vertical="top" wrapText="1"/>
    </xf>
    <xf numFmtId="44" fontId="3" fillId="12" borderId="47" xfId="0" applyNumberFormat="1" applyFont="1" applyFill="1" applyBorder="1" applyAlignment="1">
      <alignment vertical="center"/>
    </xf>
    <xf numFmtId="44" fontId="0" fillId="0" borderId="45" xfId="0" applyNumberFormat="1" applyBorder="1" applyAlignment="1">
      <alignment vertical="center"/>
    </xf>
    <xf numFmtId="0" fontId="3" fillId="2" borderId="48" xfId="0" applyFont="1" applyFill="1" applyBorder="1" applyAlignment="1">
      <alignment vertical="center"/>
    </xf>
    <xf numFmtId="42" fontId="3" fillId="3" borderId="24" xfId="0" applyNumberFormat="1" applyFont="1" applyFill="1" applyBorder="1" applyAlignment="1">
      <alignment horizontal="center" vertical="center"/>
    </xf>
    <xf numFmtId="41" fontId="3" fillId="3" borderId="3" xfId="0" applyNumberFormat="1" applyFont="1" applyFill="1" applyBorder="1" applyAlignment="1">
      <alignment horizontal="center" vertical="center"/>
    </xf>
    <xf numFmtId="0" fontId="11" fillId="2" borderId="3" xfId="0" applyFont="1" applyFill="1" applyBorder="1" applyAlignment="1">
      <alignment horizontal="left" vertical="center"/>
    </xf>
    <xf numFmtId="41" fontId="0" fillId="15" borderId="8" xfId="0" applyNumberFormat="1" applyFill="1" applyBorder="1" applyAlignment="1">
      <alignment horizontal="center" vertical="center"/>
    </xf>
    <xf numFmtId="41" fontId="0" fillId="15" borderId="9" xfId="0" applyNumberFormat="1" applyFill="1" applyBorder="1" applyAlignment="1">
      <alignment horizontal="center" vertical="center"/>
    </xf>
    <xf numFmtId="41" fontId="0" fillId="15" borderId="26" xfId="0" applyNumberFormat="1" applyFill="1" applyBorder="1" applyAlignment="1">
      <alignment horizontal="center" vertical="center"/>
    </xf>
    <xf numFmtId="0" fontId="34" fillId="0" borderId="1" xfId="0" applyFont="1" applyBorder="1" applyAlignment="1">
      <alignment horizontal="right" vertical="center" wrapText="1"/>
    </xf>
    <xf numFmtId="0" fontId="8" fillId="15" borderId="1" xfId="0" applyFont="1" applyFill="1" applyBorder="1" applyAlignment="1">
      <alignment vertical="center" wrapText="1"/>
    </xf>
    <xf numFmtId="0" fontId="3" fillId="14" borderId="34" xfId="0" applyFont="1" applyFill="1" applyBorder="1" applyAlignment="1">
      <alignment horizontal="center" vertical="center"/>
    </xf>
    <xf numFmtId="0" fontId="0" fillId="0" borderId="20" xfId="0" applyBorder="1" applyAlignment="1">
      <alignment horizontal="right" vertical="center" wrapText="1"/>
    </xf>
    <xf numFmtId="0" fontId="3" fillId="0" borderId="20" xfId="0" applyFont="1" applyBorder="1" applyAlignment="1">
      <alignment horizontal="center" vertical="center"/>
    </xf>
    <xf numFmtId="42" fontId="3" fillId="0" borderId="20" xfId="0" applyNumberFormat="1" applyFont="1" applyBorder="1" applyAlignment="1">
      <alignment horizontal="center" vertical="center"/>
    </xf>
    <xf numFmtId="0" fontId="34" fillId="0" borderId="37" xfId="0" quotePrefix="1" applyFont="1" applyBorder="1" applyAlignment="1">
      <alignment horizontal="center" vertical="center"/>
    </xf>
    <xf numFmtId="42" fontId="3" fillId="0" borderId="37" xfId="0" applyNumberFormat="1" applyFont="1" applyBorder="1" applyAlignment="1">
      <alignment horizontal="center" vertical="center"/>
    </xf>
    <xf numFmtId="0" fontId="2" fillId="0" borderId="37" xfId="0" applyFont="1" applyBorder="1" applyAlignment="1">
      <alignment horizontal="center" vertical="center"/>
    </xf>
    <xf numFmtId="42" fontId="3" fillId="14" borderId="34" xfId="0" applyNumberFormat="1" applyFont="1" applyFill="1" applyBorder="1" applyAlignment="1">
      <alignment horizontal="center" vertical="center"/>
    </xf>
    <xf numFmtId="42" fontId="3" fillId="0" borderId="34" xfId="0" applyNumberFormat="1" applyFont="1" applyBorder="1" applyAlignment="1">
      <alignment horizontal="center" vertical="center"/>
    </xf>
    <xf numFmtId="42" fontId="3" fillId="0" borderId="13" xfId="0" applyNumberFormat="1" applyFont="1" applyBorder="1" applyAlignment="1">
      <alignment horizontal="center" vertical="center"/>
    </xf>
    <xf numFmtId="42" fontId="3" fillId="14" borderId="13"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wrapText="1"/>
    </xf>
    <xf numFmtId="42" fontId="3" fillId="0" borderId="39" xfId="0" applyNumberFormat="1" applyFont="1" applyBorder="1" applyAlignment="1">
      <alignment horizontal="center" vertical="center"/>
    </xf>
    <xf numFmtId="0" fontId="9" fillId="0" borderId="58" xfId="0" applyFont="1" applyBorder="1" applyAlignment="1">
      <alignment horizontal="left" vertical="center" wrapText="1"/>
    </xf>
    <xf numFmtId="0" fontId="0" fillId="0" borderId="58" xfId="0" applyBorder="1" applyAlignment="1">
      <alignment horizontal="left" vertical="center"/>
    </xf>
    <xf numFmtId="0" fontId="9" fillId="14" borderId="58" xfId="0" applyFont="1" applyFill="1" applyBorder="1" applyAlignment="1">
      <alignment horizontal="left" vertical="center" wrapText="1"/>
    </xf>
    <xf numFmtId="0" fontId="9" fillId="0" borderId="32" xfId="0" applyFont="1" applyBorder="1" applyAlignment="1">
      <alignment horizontal="left" vertical="center" wrapText="1"/>
    </xf>
    <xf numFmtId="42" fontId="3" fillId="0" borderId="35" xfId="0" applyNumberFormat="1" applyFont="1" applyBorder="1" applyAlignment="1">
      <alignment horizontal="center" vertical="center"/>
    </xf>
    <xf numFmtId="42" fontId="3" fillId="0" borderId="21" xfId="0" applyNumberFormat="1" applyFont="1" applyBorder="1" applyAlignment="1">
      <alignment horizontal="center" vertical="center"/>
    </xf>
    <xf numFmtId="0" fontId="27" fillId="2" borderId="4" xfId="0" applyFont="1" applyFill="1" applyBorder="1" applyAlignment="1">
      <alignment vertical="center" wrapText="1"/>
    </xf>
    <xf numFmtId="42" fontId="3" fillId="14" borderId="36" xfId="0" applyNumberFormat="1" applyFont="1" applyFill="1" applyBorder="1" applyAlignment="1">
      <alignment horizontal="center" vertical="center"/>
    </xf>
    <xf numFmtId="0" fontId="9" fillId="0" borderId="69" xfId="0" applyFont="1" applyBorder="1" applyAlignment="1">
      <alignment horizontal="left" vertical="center" wrapText="1"/>
    </xf>
    <xf numFmtId="42" fontId="3" fillId="0" borderId="43" xfId="0" applyNumberFormat="1" applyFont="1" applyBorder="1" applyAlignment="1">
      <alignment horizontal="center" vertical="center"/>
    </xf>
    <xf numFmtId="0" fontId="27" fillId="14" borderId="2" xfId="0" applyFont="1" applyFill="1" applyBorder="1" applyAlignment="1">
      <alignment horizontal="right" vertical="center" wrapText="1"/>
    </xf>
    <xf numFmtId="0" fontId="3" fillId="14" borderId="27" xfId="0" applyFont="1" applyFill="1" applyBorder="1" applyAlignment="1">
      <alignment horizontal="center" vertical="center"/>
    </xf>
    <xf numFmtId="0" fontId="7" fillId="6" borderId="2" xfId="0" applyFont="1" applyFill="1" applyBorder="1" applyAlignment="1">
      <alignment vertical="center" wrapText="1"/>
    </xf>
    <xf numFmtId="0" fontId="3" fillId="6" borderId="27" xfId="0" applyFont="1" applyFill="1" applyBorder="1" applyAlignment="1">
      <alignment horizontal="center" vertical="center"/>
    </xf>
    <xf numFmtId="42" fontId="3" fillId="0" borderId="64" xfId="0" applyNumberFormat="1" applyFont="1" applyBorder="1" applyAlignment="1">
      <alignment horizontal="center" vertical="center"/>
    </xf>
    <xf numFmtId="0" fontId="9" fillId="0" borderId="72" xfId="0" applyFont="1" applyBorder="1" applyAlignment="1">
      <alignment horizontal="left" vertical="center" wrapText="1"/>
    </xf>
    <xf numFmtId="0" fontId="10" fillId="0" borderId="42" xfId="0" quotePrefix="1" applyFont="1" applyBorder="1" applyAlignment="1">
      <alignment horizontal="center" vertical="center"/>
    </xf>
    <xf numFmtId="42" fontId="3" fillId="0" borderId="41" xfId="0" applyNumberFormat="1" applyFont="1" applyBorder="1" applyAlignment="1">
      <alignment horizontal="center" vertical="center"/>
    </xf>
    <xf numFmtId="42" fontId="3" fillId="0" borderId="18" xfId="0" applyNumberFormat="1" applyFont="1" applyBorder="1" applyAlignment="1">
      <alignment horizontal="center" vertical="center"/>
    </xf>
    <xf numFmtId="0" fontId="3" fillId="11" borderId="40" xfId="0" quotePrefix="1" applyFont="1" applyFill="1" applyBorder="1" applyAlignment="1">
      <alignment horizontal="center" vertical="center"/>
    </xf>
    <xf numFmtId="42" fontId="3" fillId="14" borderId="40" xfId="0" applyNumberFormat="1" applyFont="1" applyFill="1" applyBorder="1" applyAlignment="1">
      <alignment horizontal="center" vertical="center"/>
    </xf>
    <xf numFmtId="42" fontId="3" fillId="14" borderId="5" xfId="0" applyNumberFormat="1" applyFont="1" applyFill="1" applyBorder="1" applyAlignment="1">
      <alignment horizontal="center" vertical="center"/>
    </xf>
    <xf numFmtId="0" fontId="0" fillId="15" borderId="17" xfId="0" applyFill="1" applyBorder="1" applyAlignment="1">
      <alignment horizontal="left" vertical="center"/>
    </xf>
    <xf numFmtId="0" fontId="0" fillId="0" borderId="2" xfId="0" applyBorder="1" applyAlignment="1">
      <alignment horizontal="right" vertical="center" wrapText="1"/>
    </xf>
    <xf numFmtId="0" fontId="2" fillId="0" borderId="17" xfId="0" applyFont="1" applyBorder="1" applyAlignment="1">
      <alignment vertical="center" wrapText="1"/>
    </xf>
    <xf numFmtId="0" fontId="9" fillId="14" borderId="28" xfId="0" applyFont="1" applyFill="1" applyBorder="1" applyAlignment="1">
      <alignment horizontal="left" vertical="center" wrapText="1"/>
    </xf>
    <xf numFmtId="0" fontId="3" fillId="7" borderId="40" xfId="0" applyFont="1" applyFill="1" applyBorder="1" applyAlignment="1">
      <alignment horizontal="center" vertical="center"/>
    </xf>
    <xf numFmtId="0" fontId="9" fillId="15" borderId="17" xfId="0" applyFont="1" applyFill="1" applyBorder="1" applyAlignment="1">
      <alignment horizontal="right" vertical="center" wrapText="1"/>
    </xf>
    <xf numFmtId="0" fontId="9" fillId="15" borderId="6" xfId="0" applyFont="1" applyFill="1" applyBorder="1" applyAlignment="1">
      <alignment horizontal="right" vertical="center" wrapText="1"/>
    </xf>
    <xf numFmtId="0" fontId="9" fillId="0" borderId="6" xfId="0" applyFont="1" applyBorder="1" applyAlignment="1">
      <alignment vertical="center" wrapText="1"/>
    </xf>
    <xf numFmtId="0" fontId="41" fillId="15" borderId="11" xfId="0" applyFont="1" applyFill="1" applyBorder="1" applyAlignment="1">
      <alignment horizontal="right" vertical="center" wrapText="1"/>
    </xf>
    <xf numFmtId="0" fontId="11" fillId="0" borderId="39" xfId="0" applyFont="1" applyBorder="1" applyAlignment="1">
      <alignment horizontal="left" vertical="center" wrapText="1"/>
    </xf>
    <xf numFmtId="0" fontId="41" fillId="15" borderId="6" xfId="0" applyFont="1" applyFill="1" applyBorder="1" applyAlignment="1">
      <alignment horizontal="right" vertical="center" wrapText="1"/>
    </xf>
    <xf numFmtId="0" fontId="3" fillId="0" borderId="6" xfId="0" quotePrefix="1" applyFont="1" applyBorder="1" applyAlignment="1">
      <alignment horizontal="center" vertical="center"/>
    </xf>
    <xf numFmtId="42" fontId="3" fillId="0" borderId="42" xfId="0" applyNumberFormat="1" applyFont="1" applyBorder="1" applyAlignment="1">
      <alignment horizontal="center" vertical="center"/>
    </xf>
    <xf numFmtId="42" fontId="3" fillId="0" borderId="65" xfId="0" applyNumberFormat="1" applyFont="1" applyBorder="1" applyAlignment="1">
      <alignment horizontal="center" vertical="center"/>
    </xf>
    <xf numFmtId="0" fontId="3" fillId="0" borderId="17" xfId="0" applyFont="1" applyBorder="1" applyAlignment="1">
      <alignment vertical="center" wrapText="1"/>
    </xf>
    <xf numFmtId="0" fontId="3" fillId="14" borderId="4" xfId="0" quotePrefix="1" applyFont="1" applyFill="1" applyBorder="1" applyAlignment="1">
      <alignment horizontal="center" vertical="center"/>
    </xf>
    <xf numFmtId="42" fontId="3" fillId="14" borderId="4" xfId="0" applyNumberFormat="1" applyFont="1" applyFill="1" applyBorder="1" applyAlignment="1">
      <alignment horizontal="center" vertical="center"/>
    </xf>
    <xf numFmtId="0" fontId="3" fillId="0" borderId="67" xfId="0" applyFont="1" applyBorder="1" applyAlignment="1">
      <alignment horizontal="center" vertical="center"/>
    </xf>
    <xf numFmtId="42" fontId="3" fillId="3" borderId="3" xfId="0" applyNumberFormat="1" applyFont="1" applyFill="1" applyBorder="1" applyAlignment="1">
      <alignment horizontal="center" vertical="center"/>
    </xf>
    <xf numFmtId="42" fontId="14" fillId="0" borderId="33" xfId="0" applyNumberFormat="1" applyFont="1" applyBorder="1" applyAlignment="1">
      <alignment horizontal="center" vertical="center"/>
    </xf>
    <xf numFmtId="42" fontId="3" fillId="3" borderId="59" xfId="0" applyNumberFormat="1" applyFont="1" applyFill="1" applyBorder="1" applyAlignment="1">
      <alignment horizontal="center" vertical="center"/>
    </xf>
    <xf numFmtId="175" fontId="0" fillId="0" borderId="43" xfId="0" applyNumberFormat="1" applyBorder="1" applyAlignment="1">
      <alignment horizontal="center"/>
    </xf>
    <xf numFmtId="175" fontId="3" fillId="2" borderId="3" xfId="0" applyNumberFormat="1" applyFont="1" applyFill="1" applyBorder="1" applyAlignment="1">
      <alignment horizontal="center"/>
    </xf>
    <xf numFmtId="175" fontId="37" fillId="20" borderId="19" xfId="0" applyNumberFormat="1" applyFont="1" applyFill="1" applyBorder="1" applyAlignment="1">
      <alignment horizontal="left"/>
    </xf>
    <xf numFmtId="175" fontId="3" fillId="2" borderId="70" xfId="0" applyNumberFormat="1" applyFont="1" applyFill="1" applyBorder="1" applyAlignment="1">
      <alignment horizontal="center"/>
    </xf>
    <xf numFmtId="1" fontId="0" fillId="0" borderId="7" xfId="0" applyNumberFormat="1" applyBorder="1" applyAlignment="1">
      <alignment horizontal="center"/>
    </xf>
    <xf numFmtId="1" fontId="0" fillId="0" borderId="68" xfId="0" applyNumberFormat="1" applyBorder="1" applyAlignment="1">
      <alignment horizontal="center"/>
    </xf>
    <xf numFmtId="42" fontId="3" fillId="12" borderId="9" xfId="0" applyNumberFormat="1" applyFont="1" applyFill="1" applyBorder="1" applyAlignment="1">
      <alignment vertical="center"/>
    </xf>
    <xf numFmtId="0" fontId="0" fillId="0" borderId="57" xfId="0" applyBorder="1" applyAlignment="1">
      <alignment horizontal="left" vertical="center"/>
    </xf>
    <xf numFmtId="0" fontId="2" fillId="0" borderId="0" xfId="0" applyFont="1" applyAlignment="1">
      <alignment vertical="center"/>
    </xf>
    <xf numFmtId="0" fontId="0" fillId="0" borderId="10" xfId="0" applyBorder="1" applyAlignment="1">
      <alignment vertical="center"/>
    </xf>
    <xf numFmtId="0" fontId="27" fillId="19" borderId="0" xfId="0" applyFont="1" applyFill="1" applyAlignment="1">
      <alignment vertical="center" wrapText="1"/>
    </xf>
    <xf numFmtId="0" fontId="0" fillId="0" borderId="13" xfId="0" applyBorder="1"/>
    <xf numFmtId="0" fontId="3" fillId="2" borderId="40" xfId="0" applyFont="1" applyFill="1" applyBorder="1"/>
    <xf numFmtId="0" fontId="0" fillId="0" borderId="41" xfId="0" applyBorder="1"/>
    <xf numFmtId="0" fontId="0" fillId="0" borderId="37" xfId="0" applyBorder="1"/>
    <xf numFmtId="0" fontId="0" fillId="0" borderId="39" xfId="0" applyBorder="1"/>
    <xf numFmtId="175" fontId="0" fillId="0" borderId="15" xfId="0" applyNumberFormat="1" applyBorder="1" applyAlignment="1">
      <alignment horizontal="center"/>
    </xf>
    <xf numFmtId="175" fontId="0" fillId="0" borderId="9" xfId="0" applyNumberFormat="1" applyBorder="1" applyAlignment="1">
      <alignment horizontal="center"/>
    </xf>
    <xf numFmtId="175" fontId="0" fillId="0" borderId="26" xfId="0" applyNumberFormat="1" applyBorder="1" applyAlignment="1">
      <alignment horizontal="center"/>
    </xf>
    <xf numFmtId="0" fontId="0" fillId="0" borderId="48" xfId="0" applyBorder="1" applyAlignment="1">
      <alignment horizontal="center" vertical="center"/>
    </xf>
    <xf numFmtId="44" fontId="3" fillId="3" borderId="24" xfId="0" applyNumberFormat="1" applyFont="1" applyFill="1" applyBorder="1" applyAlignment="1">
      <alignment vertical="center"/>
    </xf>
    <xf numFmtId="0" fontId="27" fillId="0" borderId="0" xfId="0" applyFont="1" applyAlignment="1">
      <alignment horizontal="left" vertical="center" wrapText="1"/>
    </xf>
    <xf numFmtId="0" fontId="9" fillId="15" borderId="20" xfId="0" applyFont="1" applyFill="1" applyBorder="1" applyAlignment="1">
      <alignment horizontal="left" vertical="center" wrapText="1"/>
    </xf>
    <xf numFmtId="0" fontId="3" fillId="0" borderId="40" xfId="0" quotePrefix="1" applyFont="1" applyBorder="1" applyAlignment="1">
      <alignment horizontal="center" vertical="center"/>
    </xf>
    <xf numFmtId="42" fontId="9" fillId="3" borderId="48" xfId="0" applyNumberFormat="1" applyFont="1" applyFill="1" applyBorder="1"/>
    <xf numFmtId="42" fontId="0" fillId="15" borderId="8" xfId="0" applyNumberFormat="1" applyFill="1" applyBorder="1"/>
    <xf numFmtId="174" fontId="0" fillId="15" borderId="26" xfId="0" applyNumberFormat="1" applyFill="1" applyBorder="1"/>
    <xf numFmtId="42" fontId="0" fillId="15" borderId="55" xfId="0" applyNumberFormat="1" applyFill="1" applyBorder="1"/>
    <xf numFmtId="0" fontId="0" fillId="15" borderId="15" xfId="0" applyFill="1" applyBorder="1" applyAlignment="1">
      <alignment horizontal="center"/>
    </xf>
    <xf numFmtId="0" fontId="0" fillId="15" borderId="9" xfId="0" applyFill="1" applyBorder="1" applyAlignment="1">
      <alignment horizontal="center"/>
    </xf>
    <xf numFmtId="0" fontId="0" fillId="15" borderId="26" xfId="0" applyFill="1" applyBorder="1" applyAlignment="1">
      <alignment horizontal="center"/>
    </xf>
    <xf numFmtId="9" fontId="0" fillId="0" borderId="3" xfId="0" applyNumberFormat="1" applyBorder="1" applyAlignment="1">
      <alignment horizontal="center"/>
    </xf>
    <xf numFmtId="44" fontId="0" fillId="15" borderId="34" xfId="0" applyNumberFormat="1" applyFill="1" applyBorder="1" applyAlignment="1">
      <alignment vertical="center"/>
    </xf>
    <xf numFmtId="44" fontId="0" fillId="15" borderId="35" xfId="0" applyNumberFormat="1" applyFill="1" applyBorder="1" applyAlignment="1">
      <alignment vertical="center"/>
    </xf>
    <xf numFmtId="44" fontId="0" fillId="15" borderId="34" xfId="0" applyNumberFormat="1" applyFill="1" applyBorder="1" applyAlignment="1">
      <alignment horizontal="center" vertical="center"/>
    </xf>
    <xf numFmtId="44" fontId="0" fillId="15" borderId="35" xfId="0" applyNumberFormat="1" applyFill="1" applyBorder="1" applyAlignment="1">
      <alignment horizontal="center" vertical="center"/>
    </xf>
    <xf numFmtId="0" fontId="0" fillId="0" borderId="21" xfId="0" applyBorder="1"/>
    <xf numFmtId="6" fontId="9" fillId="0" borderId="0" xfId="1" applyNumberFormat="1" applyFont="1" applyAlignment="1">
      <alignment vertical="top" wrapText="1"/>
    </xf>
    <xf numFmtId="0" fontId="51" fillId="0" borderId="0" xfId="0" applyFont="1" applyAlignment="1">
      <alignment horizontal="center" vertical="center"/>
    </xf>
    <xf numFmtId="0" fontId="52" fillId="0" borderId="0" xfId="0" applyFont="1" applyAlignment="1">
      <alignment vertical="center"/>
    </xf>
    <xf numFmtId="42" fontId="3" fillId="15" borderId="3" xfId="0" applyNumberFormat="1" applyFont="1" applyFill="1" applyBorder="1" applyAlignment="1">
      <alignment horizontal="center" vertical="center"/>
    </xf>
    <xf numFmtId="0" fontId="0" fillId="10" borderId="45" xfId="0" applyFill="1" applyBorder="1" applyAlignment="1">
      <alignment horizontal="center"/>
    </xf>
    <xf numFmtId="0" fontId="0" fillId="10" borderId="46" xfId="0" applyFill="1" applyBorder="1" applyAlignment="1">
      <alignment horizontal="center"/>
    </xf>
    <xf numFmtId="0" fontId="0" fillId="10" borderId="47" xfId="0" applyFill="1" applyBorder="1" applyAlignment="1">
      <alignment horizontal="center"/>
    </xf>
    <xf numFmtId="42" fontId="3" fillId="3" borderId="8" xfId="0" applyNumberFormat="1" applyFont="1" applyFill="1" applyBorder="1" applyAlignment="1">
      <alignment horizontal="center"/>
    </xf>
    <xf numFmtId="42" fontId="3" fillId="3" borderId="9" xfId="0" applyNumberFormat="1" applyFont="1" applyFill="1" applyBorder="1" applyAlignment="1">
      <alignment horizontal="center"/>
    </xf>
    <xf numFmtId="0" fontId="3" fillId="2" borderId="3" xfId="0" applyFont="1" applyFill="1" applyBorder="1" applyAlignment="1">
      <alignment horizontal="right"/>
    </xf>
    <xf numFmtId="42" fontId="0" fillId="0" borderId="0" xfId="0" applyNumberFormat="1" applyAlignment="1">
      <alignment horizontal="center"/>
    </xf>
    <xf numFmtId="42" fontId="0" fillId="15" borderId="8" xfId="0" applyNumberFormat="1" applyFill="1" applyBorder="1" applyAlignment="1">
      <alignment horizontal="center"/>
    </xf>
    <xf numFmtId="44" fontId="3" fillId="3" borderId="23" xfId="0" applyNumberFormat="1" applyFont="1" applyFill="1" applyBorder="1" applyAlignment="1">
      <alignment vertical="center"/>
    </xf>
    <xf numFmtId="0" fontId="3" fillId="15" borderId="3" xfId="0" applyFont="1" applyFill="1" applyBorder="1" applyAlignment="1">
      <alignment horizontal="center"/>
    </xf>
    <xf numFmtId="175" fontId="0" fillId="15" borderId="38" xfId="0" applyNumberFormat="1" applyFill="1" applyBorder="1" applyAlignment="1">
      <alignment horizontal="center"/>
    </xf>
    <xf numFmtId="0" fontId="0" fillId="0" borderId="0" xfId="0" quotePrefix="1"/>
    <xf numFmtId="42" fontId="0" fillId="15" borderId="12" xfId="0" applyNumberFormat="1" applyFill="1" applyBorder="1" applyAlignment="1">
      <alignment horizontal="center"/>
    </xf>
    <xf numFmtId="0" fontId="3" fillId="2" borderId="70" xfId="0" applyFont="1" applyFill="1" applyBorder="1"/>
    <xf numFmtId="0" fontId="0" fillId="15" borderId="16" xfId="0" applyFill="1" applyBorder="1"/>
    <xf numFmtId="0" fontId="0" fillId="15" borderId="7" xfId="0" applyFill="1" applyBorder="1"/>
    <xf numFmtId="0" fontId="0" fillId="15" borderId="68" xfId="0" applyFill="1" applyBorder="1"/>
    <xf numFmtId="42" fontId="3" fillId="14" borderId="3" xfId="0" applyNumberFormat="1" applyFont="1" applyFill="1" applyBorder="1" applyAlignment="1">
      <alignment horizontal="center"/>
    </xf>
    <xf numFmtId="42" fontId="3" fillId="2" borderId="23" xfId="0" applyNumberFormat="1" applyFont="1" applyFill="1" applyBorder="1" applyAlignment="1">
      <alignment horizontal="center"/>
    </xf>
    <xf numFmtId="42" fontId="3" fillId="2" borderId="3" xfId="0" applyNumberFormat="1" applyFont="1" applyFill="1" applyBorder="1" applyAlignment="1">
      <alignment horizontal="center"/>
    </xf>
    <xf numFmtId="42" fontId="3" fillId="15" borderId="8" xfId="0" applyNumberFormat="1" applyFont="1" applyFill="1" applyBorder="1" applyAlignment="1">
      <alignment horizontal="center"/>
    </xf>
    <xf numFmtId="42" fontId="0" fillId="0" borderId="14" xfId="0" applyNumberFormat="1" applyBorder="1" applyAlignment="1">
      <alignment horizontal="center"/>
    </xf>
    <xf numFmtId="42" fontId="3" fillId="15" borderId="3" xfId="0" applyNumberFormat="1" applyFont="1" applyFill="1" applyBorder="1" applyAlignment="1">
      <alignment horizontal="center"/>
    </xf>
    <xf numFmtId="42" fontId="3" fillId="14" borderId="23" xfId="0" applyNumberFormat="1" applyFont="1" applyFill="1" applyBorder="1" applyAlignment="1">
      <alignment horizontal="center"/>
    </xf>
    <xf numFmtId="42" fontId="3" fillId="2" borderId="48" xfId="0" applyNumberFormat="1" applyFont="1" applyFill="1" applyBorder="1" applyAlignment="1">
      <alignment horizontal="center"/>
    </xf>
    <xf numFmtId="42" fontId="3" fillId="3" borderId="3" xfId="0" applyNumberFormat="1" applyFont="1" applyFill="1" applyBorder="1" applyAlignment="1">
      <alignment vertical="center"/>
    </xf>
    <xf numFmtId="42" fontId="3" fillId="14" borderId="19" xfId="0" applyNumberFormat="1" applyFont="1" applyFill="1" applyBorder="1" applyAlignment="1">
      <alignment horizontal="center" vertical="center"/>
    </xf>
    <xf numFmtId="0" fontId="0" fillId="15" borderId="33" xfId="0" applyFill="1" applyBorder="1" applyAlignment="1">
      <alignment horizontal="center"/>
    </xf>
    <xf numFmtId="0" fontId="0" fillId="15" borderId="34" xfId="0" applyFill="1" applyBorder="1" applyAlignment="1">
      <alignment horizontal="center"/>
    </xf>
    <xf numFmtId="42" fontId="0" fillId="15" borderId="9" xfId="0" applyNumberFormat="1" applyFill="1" applyBorder="1" applyAlignment="1">
      <alignment horizontal="center"/>
    </xf>
    <xf numFmtId="42" fontId="0" fillId="15" borderId="26" xfId="0" applyNumberFormat="1" applyFill="1" applyBorder="1" applyAlignment="1">
      <alignment horizontal="center"/>
    </xf>
    <xf numFmtId="42" fontId="3" fillId="14" borderId="24" xfId="0" applyNumberFormat="1" applyFont="1" applyFill="1" applyBorder="1" applyAlignment="1">
      <alignment horizontal="center"/>
    </xf>
    <xf numFmtId="42" fontId="3" fillId="14" borderId="29" xfId="0" applyNumberFormat="1" applyFont="1" applyFill="1" applyBorder="1" applyAlignment="1">
      <alignment horizontal="center"/>
    </xf>
    <xf numFmtId="42" fontId="0" fillId="15" borderId="15" xfId="0" applyNumberFormat="1" applyFill="1" applyBorder="1" applyAlignment="1">
      <alignment horizontal="center"/>
    </xf>
    <xf numFmtId="0" fontId="3" fillId="15" borderId="8" xfId="0" applyFont="1" applyFill="1" applyBorder="1" applyAlignment="1">
      <alignment horizontal="center"/>
    </xf>
    <xf numFmtId="0" fontId="0" fillId="15" borderId="17" xfId="0" applyFill="1" applyBorder="1" applyAlignment="1">
      <alignment horizontal="center"/>
    </xf>
    <xf numFmtId="0" fontId="0" fillId="15" borderId="64" xfId="0" applyFill="1" applyBorder="1" applyAlignment="1">
      <alignment horizontal="center"/>
    </xf>
    <xf numFmtId="0" fontId="0" fillId="14" borderId="36" xfId="0" applyFill="1" applyBorder="1" applyAlignment="1">
      <alignment horizontal="center"/>
    </xf>
    <xf numFmtId="0" fontId="0" fillId="15" borderId="6" xfId="0" applyFill="1" applyBorder="1" applyAlignment="1">
      <alignment horizontal="center"/>
    </xf>
    <xf numFmtId="0" fontId="0" fillId="3" borderId="36" xfId="0" applyFill="1" applyBorder="1" applyAlignment="1">
      <alignment horizontal="center"/>
    </xf>
    <xf numFmtId="42" fontId="0" fillId="15" borderId="10" xfId="0" applyNumberFormat="1" applyFill="1" applyBorder="1" applyAlignment="1">
      <alignment horizontal="center"/>
    </xf>
    <xf numFmtId="42" fontId="3" fillId="3" borderId="28" xfId="0" applyNumberFormat="1" applyFont="1" applyFill="1" applyBorder="1" applyAlignment="1">
      <alignment horizontal="center"/>
    </xf>
    <xf numFmtId="0" fontId="0" fillId="15" borderId="43" xfId="0" applyFill="1" applyBorder="1" applyAlignment="1">
      <alignment horizontal="center"/>
    </xf>
    <xf numFmtId="0" fontId="3" fillId="3" borderId="36" xfId="0" applyFont="1" applyFill="1" applyBorder="1" applyAlignment="1">
      <alignment horizontal="center"/>
    </xf>
    <xf numFmtId="42" fontId="0" fillId="15" borderId="8" xfId="0" applyNumberFormat="1" applyFill="1" applyBorder="1" applyAlignment="1">
      <alignment horizontal="center" vertical="center"/>
    </xf>
    <xf numFmtId="42" fontId="0" fillId="15" borderId="9" xfId="0" applyNumberFormat="1" applyFill="1" applyBorder="1" applyAlignment="1">
      <alignment horizontal="center" vertical="center"/>
    </xf>
    <xf numFmtId="42" fontId="0" fillId="15" borderId="26" xfId="0" applyNumberFormat="1" applyFill="1" applyBorder="1" applyAlignment="1">
      <alignment horizontal="center" vertical="center"/>
    </xf>
    <xf numFmtId="42" fontId="0" fillId="15" borderId="54" xfId="0" applyNumberFormat="1" applyFill="1" applyBorder="1" applyAlignment="1">
      <alignment horizontal="center" vertical="center"/>
    </xf>
    <xf numFmtId="42" fontId="0" fillId="15" borderId="15" xfId="0" applyNumberFormat="1" applyFill="1" applyBorder="1" applyAlignment="1">
      <alignment horizontal="center" vertical="center"/>
    </xf>
    <xf numFmtId="42" fontId="0" fillId="15" borderId="53" xfId="0" applyNumberFormat="1" applyFill="1" applyBorder="1" applyAlignment="1">
      <alignment horizontal="center" vertical="center"/>
    </xf>
    <xf numFmtId="42" fontId="0" fillId="15" borderId="10" xfId="0" applyNumberFormat="1" applyFill="1" applyBorder="1" applyAlignment="1">
      <alignment horizontal="center" vertical="center"/>
    </xf>
    <xf numFmtId="42" fontId="0" fillId="15" borderId="55" xfId="0" applyNumberFormat="1" applyFill="1" applyBorder="1" applyAlignment="1">
      <alignment horizontal="center" vertical="center"/>
    </xf>
    <xf numFmtId="42" fontId="3" fillId="3" borderId="48" xfId="0" applyNumberFormat="1" applyFont="1" applyFill="1" applyBorder="1" applyAlignment="1">
      <alignment horizontal="center" vertical="center"/>
    </xf>
    <xf numFmtId="42" fontId="11" fillId="3" borderId="5" xfId="0" applyNumberFormat="1" applyFont="1" applyFill="1" applyBorder="1" applyAlignment="1">
      <alignment horizontal="center" vertical="center"/>
    </xf>
    <xf numFmtId="0" fontId="3" fillId="14" borderId="59" xfId="0" applyFont="1" applyFill="1" applyBorder="1" applyAlignment="1">
      <alignment horizontal="center"/>
    </xf>
    <xf numFmtId="42" fontId="3" fillId="3" borderId="48" xfId="0" applyNumberFormat="1" applyFont="1" applyFill="1" applyBorder="1" applyAlignment="1">
      <alignment horizontal="center"/>
    </xf>
    <xf numFmtId="42" fontId="0" fillId="15" borderId="56" xfId="0" applyNumberFormat="1" applyFill="1" applyBorder="1" applyAlignment="1">
      <alignment horizontal="center"/>
    </xf>
    <xf numFmtId="42" fontId="0" fillId="15" borderId="54" xfId="0" applyNumberFormat="1" applyFill="1" applyBorder="1" applyAlignment="1">
      <alignment horizontal="center"/>
    </xf>
    <xf numFmtId="42" fontId="0" fillId="15" borderId="53" xfId="0" applyNumberFormat="1" applyFill="1" applyBorder="1" applyAlignment="1">
      <alignment horizontal="center"/>
    </xf>
    <xf numFmtId="42" fontId="0" fillId="15" borderId="55" xfId="0" applyNumberFormat="1" applyFill="1" applyBorder="1" applyAlignment="1">
      <alignment horizontal="center"/>
    </xf>
    <xf numFmtId="42" fontId="0" fillId="0" borderId="0" xfId="0" quotePrefix="1" applyNumberFormat="1" applyAlignment="1">
      <alignment horizontal="left"/>
    </xf>
    <xf numFmtId="42" fontId="3" fillId="2" borderId="50" xfId="0" applyNumberFormat="1" applyFont="1" applyFill="1" applyBorder="1" applyAlignment="1">
      <alignment horizontal="center"/>
    </xf>
    <xf numFmtId="42" fontId="0" fillId="15" borderId="58" xfId="0" applyNumberFormat="1" applyFill="1" applyBorder="1" applyAlignment="1">
      <alignment horizontal="center"/>
    </xf>
    <xf numFmtId="42" fontId="0" fillId="15" borderId="72" xfId="0" applyNumberFormat="1" applyFill="1" applyBorder="1" applyAlignment="1">
      <alignment horizontal="right"/>
    </xf>
    <xf numFmtId="42" fontId="3" fillId="2" borderId="28" xfId="0" applyNumberFormat="1" applyFont="1" applyFill="1" applyBorder="1" applyAlignment="1">
      <alignment horizontal="center"/>
    </xf>
    <xf numFmtId="42" fontId="0" fillId="15" borderId="69" xfId="0" applyNumberFormat="1" applyFill="1" applyBorder="1" applyAlignment="1">
      <alignment horizontal="center"/>
    </xf>
    <xf numFmtId="0" fontId="0" fillId="0" borderId="74" xfId="0" applyBorder="1" applyAlignment="1">
      <alignment horizontal="center"/>
    </xf>
    <xf numFmtId="42" fontId="0" fillId="15" borderId="72" xfId="0" applyNumberFormat="1" applyFill="1" applyBorder="1" applyAlignment="1">
      <alignment horizontal="center"/>
    </xf>
    <xf numFmtId="42" fontId="11" fillId="14" borderId="28" xfId="0" applyNumberFormat="1" applyFont="1" applyFill="1" applyBorder="1" applyAlignment="1">
      <alignment horizontal="center"/>
    </xf>
    <xf numFmtId="42" fontId="3" fillId="14" borderId="28" xfId="0" applyNumberFormat="1" applyFont="1" applyFill="1" applyBorder="1" applyAlignment="1">
      <alignment horizontal="center"/>
    </xf>
    <xf numFmtId="42" fontId="11" fillId="14" borderId="3" xfId="0" applyNumberFormat="1" applyFont="1" applyFill="1" applyBorder="1" applyAlignment="1">
      <alignment horizontal="center"/>
    </xf>
    <xf numFmtId="42" fontId="0" fillId="15" borderId="14" xfId="0" applyNumberFormat="1" applyFill="1" applyBorder="1" applyAlignment="1">
      <alignment horizontal="center"/>
    </xf>
    <xf numFmtId="42" fontId="29" fillId="15" borderId="1" xfId="0" applyNumberFormat="1" applyFont="1" applyFill="1" applyBorder="1" applyAlignment="1">
      <alignment horizontal="center"/>
    </xf>
    <xf numFmtId="42" fontId="29" fillId="2" borderId="4" xfId="0" applyNumberFormat="1" applyFont="1" applyFill="1" applyBorder="1" applyAlignment="1">
      <alignment horizontal="center"/>
    </xf>
    <xf numFmtId="42" fontId="29" fillId="2" borderId="5" xfId="0" applyNumberFormat="1" applyFont="1" applyFill="1" applyBorder="1" applyAlignment="1">
      <alignment horizontal="center"/>
    </xf>
    <xf numFmtId="42" fontId="29" fillId="15" borderId="11" xfId="0" applyNumberFormat="1" applyFont="1" applyFill="1" applyBorder="1" applyAlignment="1">
      <alignment horizontal="center"/>
    </xf>
    <xf numFmtId="42" fontId="29" fillId="15" borderId="12" xfId="0" applyNumberFormat="1" applyFont="1" applyFill="1" applyBorder="1" applyAlignment="1">
      <alignment horizontal="center"/>
    </xf>
    <xf numFmtId="42" fontId="29" fillId="15" borderId="13" xfId="0" applyNumberFormat="1" applyFont="1" applyFill="1" applyBorder="1" applyAlignment="1">
      <alignment horizontal="center"/>
    </xf>
    <xf numFmtId="0" fontId="0" fillId="0" borderId="10" xfId="0" applyBorder="1" applyAlignment="1">
      <alignment horizontal="center"/>
    </xf>
    <xf numFmtId="0" fontId="3" fillId="14" borderId="3" xfId="0" applyFont="1" applyFill="1" applyBorder="1" applyAlignment="1">
      <alignment horizontal="center"/>
    </xf>
    <xf numFmtId="44" fontId="13" fillId="0" borderId="0" xfId="2" applyNumberFormat="1" applyAlignment="1">
      <alignment vertical="center"/>
    </xf>
    <xf numFmtId="42" fontId="3" fillId="15" borderId="9" xfId="0" applyNumberFormat="1" applyFont="1" applyFill="1" applyBorder="1"/>
    <xf numFmtId="42" fontId="3" fillId="15" borderId="10" xfId="0" applyNumberFormat="1" applyFont="1" applyFill="1" applyBorder="1"/>
    <xf numFmtId="42" fontId="11" fillId="3" borderId="3" xfId="0" applyNumberFormat="1" applyFont="1" applyFill="1" applyBorder="1" applyAlignment="1">
      <alignment vertical="center"/>
    </xf>
    <xf numFmtId="42" fontId="3" fillId="3" borderId="3" xfId="0" applyNumberFormat="1" applyFont="1" applyFill="1" applyBorder="1" applyAlignment="1">
      <alignment horizontal="right" vertical="center"/>
    </xf>
    <xf numFmtId="0" fontId="3" fillId="23" borderId="14" xfId="0" applyFont="1" applyFill="1" applyBorder="1" applyAlignment="1">
      <alignment horizontal="center" vertical="center"/>
    </xf>
    <xf numFmtId="0" fontId="3" fillId="23" borderId="3" xfId="0" applyFont="1" applyFill="1"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42" fontId="3" fillId="3" borderId="28" xfId="0" applyNumberFormat="1" applyFont="1" applyFill="1" applyBorder="1" applyAlignment="1">
      <alignment vertical="center"/>
    </xf>
    <xf numFmtId="42" fontId="3" fillId="3" borderId="50" xfId="0" applyNumberFormat="1" applyFont="1" applyFill="1" applyBorder="1" applyAlignment="1">
      <alignment horizontal="center" vertical="center"/>
    </xf>
    <xf numFmtId="41" fontId="3" fillId="3" borderId="28" xfId="0" applyNumberFormat="1" applyFont="1" applyFill="1" applyBorder="1" applyAlignment="1">
      <alignment horizontal="center" vertical="center"/>
    </xf>
    <xf numFmtId="42" fontId="3" fillId="3" borderId="51" xfId="0" applyNumberFormat="1" applyFont="1" applyFill="1" applyBorder="1" applyAlignment="1">
      <alignment horizontal="center" vertical="center"/>
    </xf>
    <xf numFmtId="42" fontId="3" fillId="3" borderId="28" xfId="0" applyNumberFormat="1" applyFont="1" applyFill="1" applyBorder="1" applyAlignment="1">
      <alignment horizontal="center" vertical="center"/>
    </xf>
    <xf numFmtId="42" fontId="3" fillId="3" borderId="52" xfId="0" applyNumberFormat="1" applyFont="1" applyFill="1" applyBorder="1" applyAlignment="1">
      <alignment horizontal="center" vertical="center"/>
    </xf>
    <xf numFmtId="0" fontId="0" fillId="0" borderId="23" xfId="0" applyBorder="1" applyAlignment="1">
      <alignment horizontal="center"/>
    </xf>
    <xf numFmtId="42" fontId="0" fillId="15" borderId="23" xfId="0" applyNumberFormat="1" applyFill="1" applyBorder="1" applyAlignment="1">
      <alignment horizontal="center"/>
    </xf>
    <xf numFmtId="0" fontId="0" fillId="2" borderId="3" xfId="0" applyFill="1" applyBorder="1" applyAlignment="1">
      <alignment horizontal="center"/>
    </xf>
    <xf numFmtId="42" fontId="0" fillId="0" borderId="21" xfId="0" applyNumberFormat="1" applyBorder="1" applyAlignment="1">
      <alignment horizontal="center" vertical="center"/>
    </xf>
    <xf numFmtId="42" fontId="0" fillId="0" borderId="47" xfId="0" applyNumberFormat="1" applyBorder="1" applyAlignment="1">
      <alignment horizontal="center" vertical="center"/>
    </xf>
    <xf numFmtId="0" fontId="62" fillId="0" borderId="1" xfId="0" applyFont="1" applyBorder="1" applyAlignment="1">
      <alignment vertical="center" wrapText="1"/>
    </xf>
    <xf numFmtId="0" fontId="61" fillId="0" borderId="37" xfId="0" applyFont="1" applyBorder="1" applyAlignment="1">
      <alignment horizontal="center" vertical="center"/>
    </xf>
    <xf numFmtId="0" fontId="62" fillId="0" borderId="11" xfId="0" applyFont="1" applyBorder="1" applyAlignment="1">
      <alignment vertical="center" wrapText="1"/>
    </xf>
    <xf numFmtId="0" fontId="62" fillId="0" borderId="20" xfId="0" applyFont="1" applyBorder="1" applyAlignment="1">
      <alignment vertical="center" wrapText="1"/>
    </xf>
    <xf numFmtId="0" fontId="62" fillId="0" borderId="6" xfId="0" applyFont="1" applyBorder="1" applyAlignment="1">
      <alignment vertical="center" wrapText="1"/>
    </xf>
    <xf numFmtId="0" fontId="0" fillId="0" borderId="57" xfId="0" applyBorder="1" applyAlignment="1">
      <alignment horizontal="center" vertical="center"/>
    </xf>
    <xf numFmtId="42" fontId="3" fillId="15" borderId="31" xfId="0" applyNumberFormat="1" applyFont="1" applyFill="1" applyBorder="1" applyAlignment="1">
      <alignment horizontal="center"/>
    </xf>
    <xf numFmtId="42" fontId="3" fillId="15" borderId="58" xfId="0" applyNumberFormat="1" applyFont="1" applyFill="1" applyBorder="1"/>
    <xf numFmtId="0" fontId="3" fillId="14" borderId="36" xfId="0" applyFont="1" applyFill="1" applyBorder="1" applyAlignment="1">
      <alignment horizontal="center"/>
    </xf>
    <xf numFmtId="42" fontId="0" fillId="15" borderId="6" xfId="0" applyNumberFormat="1" applyFill="1" applyBorder="1" applyAlignment="1">
      <alignment horizontal="center"/>
    </xf>
    <xf numFmtId="0" fontId="3" fillId="0" borderId="0" xfId="0" applyFont="1" applyAlignment="1">
      <alignment horizontal="center"/>
    </xf>
    <xf numFmtId="42" fontId="3" fillId="0" borderId="0" xfId="0" applyNumberFormat="1" applyFont="1" applyAlignment="1">
      <alignment horizontal="center"/>
    </xf>
    <xf numFmtId="42" fontId="3" fillId="0" borderId="72" xfId="0" applyNumberFormat="1" applyFont="1" applyBorder="1"/>
    <xf numFmtId="42" fontId="3" fillId="12" borderId="23" xfId="0" applyNumberFormat="1" applyFont="1" applyFill="1" applyBorder="1"/>
    <xf numFmtId="0" fontId="0" fillId="0" borderId="0" xfId="0" applyAlignment="1">
      <alignment horizontal="left"/>
    </xf>
    <xf numFmtId="42" fontId="29" fillId="3" borderId="4" xfId="0" applyNumberFormat="1" applyFont="1" applyFill="1" applyBorder="1" applyAlignment="1">
      <alignment horizontal="center"/>
    </xf>
    <xf numFmtId="0" fontId="3" fillId="21" borderId="3" xfId="0" applyFont="1" applyFill="1" applyBorder="1" applyAlignment="1">
      <alignment horizontal="center"/>
    </xf>
    <xf numFmtId="0" fontId="3" fillId="0" borderId="44" xfId="0" applyFont="1" applyBorder="1"/>
    <xf numFmtId="175" fontId="64" fillId="0" borderId="34" xfId="0" applyNumberFormat="1" applyFont="1" applyBorder="1" applyAlignment="1">
      <alignment horizontal="center"/>
    </xf>
    <xf numFmtId="0" fontId="64" fillId="0" borderId="1" xfId="0" applyFont="1" applyBorder="1"/>
    <xf numFmtId="0" fontId="64" fillId="0" borderId="13" xfId="0" applyFont="1" applyBorder="1"/>
    <xf numFmtId="0" fontId="3" fillId="15" borderId="26" xfId="0" applyFont="1" applyFill="1" applyBorder="1" applyAlignment="1">
      <alignment horizontal="center"/>
    </xf>
    <xf numFmtId="175" fontId="0" fillId="15" borderId="39" xfId="0" applyNumberFormat="1" applyFill="1" applyBorder="1" applyAlignment="1">
      <alignment horizontal="center"/>
    </xf>
    <xf numFmtId="42" fontId="3" fillId="15" borderId="26" xfId="0" applyNumberFormat="1" applyFont="1" applyFill="1" applyBorder="1" applyAlignment="1">
      <alignment horizontal="center"/>
    </xf>
    <xf numFmtId="0" fontId="42" fillId="20" borderId="48" xfId="0" applyFont="1" applyFill="1" applyBorder="1"/>
    <xf numFmtId="0" fontId="42" fillId="20" borderId="19" xfId="0" applyFont="1" applyFill="1" applyBorder="1"/>
    <xf numFmtId="0" fontId="0" fillId="0" borderId="0" xfId="0" applyAlignment="1">
      <alignment horizontal="left" vertical="center" wrapText="1"/>
    </xf>
    <xf numFmtId="0" fontId="3" fillId="2" borderId="28" xfId="0" applyFont="1" applyFill="1" applyBorder="1"/>
    <xf numFmtId="0" fontId="0" fillId="3" borderId="3" xfId="0" applyFill="1" applyBorder="1" applyAlignment="1">
      <alignment horizontal="center" vertical="center"/>
    </xf>
    <xf numFmtId="0" fontId="0" fillId="0" borderId="28" xfId="0" applyBorder="1" applyAlignment="1">
      <alignment horizontal="left" vertical="center" wrapText="1"/>
    </xf>
    <xf numFmtId="0" fontId="0" fillId="14" borderId="3" xfId="0" applyFill="1" applyBorder="1" applyAlignment="1">
      <alignment horizontal="center" vertical="center"/>
    </xf>
    <xf numFmtId="0" fontId="0" fillId="15" borderId="3" xfId="0" applyFill="1" applyBorder="1" applyAlignment="1">
      <alignment horizontal="center" vertical="center"/>
    </xf>
    <xf numFmtId="0" fontId="0" fillId="8" borderId="3" xfId="0" applyFill="1" applyBorder="1" applyAlignment="1">
      <alignment horizontal="center" vertical="center"/>
    </xf>
    <xf numFmtId="0" fontId="9" fillId="11" borderId="14" xfId="0" applyFont="1" applyFill="1" applyBorder="1" applyAlignment="1">
      <alignment horizontal="center" vertical="center"/>
    </xf>
    <xf numFmtId="0" fontId="0" fillId="0" borderId="30" xfId="0" applyBorder="1" applyAlignment="1">
      <alignment horizontal="left" vertical="center" wrapText="1"/>
    </xf>
    <xf numFmtId="0" fontId="0" fillId="12" borderId="3" xfId="0" applyFill="1" applyBorder="1" applyAlignment="1">
      <alignment horizontal="center" vertical="center"/>
    </xf>
    <xf numFmtId="0" fontId="0" fillId="0" borderId="28" xfId="0" quotePrefix="1" applyBorder="1" applyAlignment="1">
      <alignment wrapText="1"/>
    </xf>
    <xf numFmtId="0" fontId="11" fillId="2" borderId="23" xfId="0" applyFont="1" applyFill="1" applyBorder="1" applyAlignment="1">
      <alignment horizontal="center"/>
    </xf>
    <xf numFmtId="0" fontId="11" fillId="2" borderId="22" xfId="0" applyFont="1" applyFill="1" applyBorder="1"/>
    <xf numFmtId="0" fontId="11" fillId="2" borderId="50" xfId="0" applyFont="1" applyFill="1" applyBorder="1"/>
    <xf numFmtId="0" fontId="0" fillId="0" borderId="12" xfId="0" applyBorder="1"/>
    <xf numFmtId="0" fontId="29" fillId="0" borderId="13" xfId="0" applyFont="1" applyBorder="1" applyAlignment="1">
      <alignment horizontal="center" vertical="center" wrapText="1"/>
    </xf>
    <xf numFmtId="0" fontId="7" fillId="6" borderId="48" xfId="0" applyFont="1" applyFill="1" applyBorder="1" applyAlignment="1">
      <alignment horizontal="left" vertical="center" wrapText="1"/>
    </xf>
    <xf numFmtId="0" fontId="31" fillId="6" borderId="28" xfId="0" applyFont="1" applyFill="1" applyBorder="1"/>
    <xf numFmtId="0" fontId="0" fillId="0" borderId="73" xfId="0" quotePrefix="1" applyBorder="1"/>
    <xf numFmtId="0" fontId="0" fillId="0" borderId="7" xfId="0" quotePrefix="1" applyBorder="1"/>
    <xf numFmtId="0" fontId="0" fillId="0" borderId="68" xfId="0" quotePrefix="1" applyBorder="1"/>
    <xf numFmtId="0" fontId="0" fillId="0" borderId="8" xfId="0" applyBorder="1"/>
    <xf numFmtId="0" fontId="0" fillId="0" borderId="73" xfId="0" applyBorder="1"/>
    <xf numFmtId="0" fontId="0" fillId="0" borderId="7" xfId="0" quotePrefix="1" applyBorder="1" applyAlignment="1">
      <alignment vertical="center" wrapText="1"/>
    </xf>
    <xf numFmtId="0" fontId="0" fillId="0" borderId="68" xfId="0" quotePrefix="1" applyBorder="1" applyAlignment="1">
      <alignment vertical="center" wrapText="1"/>
    </xf>
    <xf numFmtId="0" fontId="40" fillId="6" borderId="19" xfId="0" applyFont="1" applyFill="1" applyBorder="1"/>
    <xf numFmtId="0" fontId="40" fillId="6" borderId="28" xfId="0" applyFont="1" applyFill="1" applyBorder="1"/>
    <xf numFmtId="0" fontId="40" fillId="6" borderId="3" xfId="0" applyFont="1" applyFill="1" applyBorder="1"/>
    <xf numFmtId="0" fontId="29" fillId="6" borderId="22" xfId="0" applyFont="1" applyFill="1" applyBorder="1"/>
    <xf numFmtId="0" fontId="29" fillId="6" borderId="50" xfId="0" applyFont="1" applyFill="1" applyBorder="1"/>
    <xf numFmtId="0" fontId="3" fillId="14" borderId="8" xfId="0" applyFont="1" applyFill="1" applyBorder="1" applyAlignment="1">
      <alignment horizontal="center" vertical="center"/>
    </xf>
    <xf numFmtId="0" fontId="3" fillId="14" borderId="26" xfId="0" applyFont="1" applyFill="1" applyBorder="1" applyAlignment="1">
      <alignment horizontal="center" vertical="center"/>
    </xf>
    <xf numFmtId="0" fontId="29" fillId="6" borderId="23" xfId="0" applyFont="1" applyFill="1" applyBorder="1"/>
    <xf numFmtId="0" fontId="31" fillId="8" borderId="3" xfId="0" applyFont="1" applyFill="1" applyBorder="1" applyAlignment="1">
      <alignment horizontal="center" vertical="center"/>
    </xf>
    <xf numFmtId="0" fontId="0" fillId="0" borderId="7" xfId="0" quotePrefix="1" applyBorder="1" applyAlignment="1">
      <alignment wrapText="1"/>
    </xf>
    <xf numFmtId="0" fontId="0" fillId="0" borderId="56" xfId="0" applyBorder="1" applyAlignment="1">
      <alignment horizontal="center" vertical="center"/>
    </xf>
    <xf numFmtId="0" fontId="3" fillId="0" borderId="23" xfId="0" applyFont="1" applyBorder="1" applyAlignment="1">
      <alignment horizontal="center" vertical="center"/>
    </xf>
    <xf numFmtId="0" fontId="3" fillId="3" borderId="22" xfId="0" applyFont="1" applyFill="1" applyBorder="1" applyAlignment="1">
      <alignment vertical="center" wrapText="1"/>
    </xf>
    <xf numFmtId="44" fontId="3" fillId="3" borderId="23" xfId="0" applyNumberFormat="1" applyFont="1" applyFill="1" applyBorder="1" applyAlignment="1">
      <alignment horizontal="center" vertical="center"/>
    </xf>
    <xf numFmtId="42" fontId="3" fillId="0" borderId="8" xfId="0" applyNumberFormat="1" applyFont="1" applyBorder="1" applyAlignment="1">
      <alignment horizontal="center" vertical="center"/>
    </xf>
    <xf numFmtId="42" fontId="0" fillId="15" borderId="10" xfId="0" applyNumberFormat="1" applyFill="1" applyBorder="1" applyAlignment="1">
      <alignment vertical="center"/>
    </xf>
    <xf numFmtId="44" fontId="0" fillId="15" borderId="13" xfId="0" applyNumberFormat="1" applyFill="1" applyBorder="1" applyAlignment="1">
      <alignment horizontal="center" vertical="center"/>
    </xf>
    <xf numFmtId="42" fontId="14" fillId="15" borderId="34" xfId="0" applyNumberFormat="1" applyFont="1" applyFill="1" applyBorder="1" applyAlignment="1">
      <alignment horizontal="center" vertical="center"/>
    </xf>
    <xf numFmtId="42" fontId="14" fillId="15" borderId="35" xfId="0" applyNumberFormat="1" applyFont="1" applyFill="1" applyBorder="1" applyAlignment="1">
      <alignment horizontal="center" vertical="center"/>
    </xf>
    <xf numFmtId="42" fontId="0" fillId="15" borderId="45" xfId="0" applyNumberFormat="1" applyFill="1" applyBorder="1" applyAlignment="1">
      <alignment horizontal="center" vertical="center"/>
    </xf>
    <xf numFmtId="42" fontId="0" fillId="15" borderId="46" xfId="0" applyNumberFormat="1" applyFill="1" applyBorder="1" applyAlignment="1">
      <alignment horizontal="center" vertical="center"/>
    </xf>
    <xf numFmtId="42" fontId="0" fillId="0" borderId="26" xfId="0" applyNumberFormat="1" applyBorder="1" applyAlignment="1">
      <alignment horizontal="center" vertical="center"/>
    </xf>
    <xf numFmtId="42" fontId="0" fillId="15" borderId="8" xfId="0" applyNumberFormat="1" applyFill="1" applyBorder="1" applyAlignment="1">
      <alignment vertical="center"/>
    </xf>
    <xf numFmtId="42" fontId="0" fillId="15" borderId="9" xfId="0" applyNumberFormat="1" applyFill="1" applyBorder="1" applyAlignment="1">
      <alignment vertical="center"/>
    </xf>
    <xf numFmtId="42" fontId="0" fillId="0" borderId="10" xfId="0" applyNumberFormat="1" applyBorder="1" applyAlignment="1">
      <alignment vertical="center"/>
    </xf>
    <xf numFmtId="41" fontId="0" fillId="15" borderId="31" xfId="0" applyNumberFormat="1" applyFill="1" applyBorder="1" applyAlignment="1">
      <alignment horizontal="center" vertical="center"/>
    </xf>
    <xf numFmtId="41" fontId="0" fillId="15" borderId="58" xfId="0" applyNumberFormat="1" applyFill="1" applyBorder="1" applyAlignment="1">
      <alignment horizontal="center" vertical="center"/>
    </xf>
    <xf numFmtId="41" fontId="0" fillId="0" borderId="26" xfId="0" applyNumberFormat="1" applyBorder="1" applyAlignment="1">
      <alignment horizontal="center" vertical="center"/>
    </xf>
    <xf numFmtId="41" fontId="0" fillId="0" borderId="32" xfId="0" applyNumberFormat="1" applyBorder="1" applyAlignment="1">
      <alignment horizontal="center" vertical="center"/>
    </xf>
    <xf numFmtId="42" fontId="0" fillId="15" borderId="33" xfId="0" applyNumberFormat="1" applyFill="1" applyBorder="1" applyAlignment="1">
      <alignment horizontal="center" vertical="center"/>
    </xf>
    <xf numFmtId="42" fontId="0" fillId="15" borderId="12" xfId="0" applyNumberFormat="1" applyFill="1" applyBorder="1" applyAlignment="1">
      <alignment horizontal="center" vertical="center"/>
    </xf>
    <xf numFmtId="42" fontId="0" fillId="15" borderId="34" xfId="0" applyNumberFormat="1" applyFill="1" applyBorder="1" applyAlignment="1">
      <alignment horizontal="center" vertical="center"/>
    </xf>
    <xf numFmtId="42" fontId="0" fillId="15" borderId="13" xfId="0" applyNumberFormat="1" applyFill="1" applyBorder="1" applyAlignment="1">
      <alignment horizontal="center" vertical="center"/>
    </xf>
    <xf numFmtId="42" fontId="0" fillId="0" borderId="35" xfId="0" applyNumberFormat="1" applyBorder="1" applyAlignment="1">
      <alignment horizontal="center" vertical="center"/>
    </xf>
    <xf numFmtId="44" fontId="0" fillId="15" borderId="33" xfId="0" applyNumberFormat="1" applyFill="1" applyBorder="1" applyAlignment="1">
      <alignment horizontal="center" vertical="center"/>
    </xf>
    <xf numFmtId="44" fontId="0" fillId="15" borderId="12" xfId="0" applyNumberFormat="1" applyFill="1" applyBorder="1" applyAlignment="1">
      <alignment horizontal="center" vertical="center"/>
    </xf>
    <xf numFmtId="44" fontId="0" fillId="0" borderId="64" xfId="0" applyNumberFormat="1" applyBorder="1" applyAlignment="1">
      <alignment horizontal="center" vertical="center"/>
    </xf>
    <xf numFmtId="44" fontId="0" fillId="0" borderId="65" xfId="0" applyNumberFormat="1" applyBorder="1" applyAlignment="1">
      <alignment horizontal="center" vertical="center"/>
    </xf>
    <xf numFmtId="42" fontId="9" fillId="15" borderId="11" xfId="0" applyNumberFormat="1" applyFont="1" applyFill="1" applyBorder="1" applyAlignment="1">
      <alignment horizontal="center" vertical="center"/>
    </xf>
    <xf numFmtId="0" fontId="0" fillId="0" borderId="56" xfId="0" applyBorder="1" applyAlignment="1">
      <alignment horizontal="center" wrapText="1"/>
    </xf>
    <xf numFmtId="0" fontId="0" fillId="0" borderId="54" xfId="0" applyBorder="1" applyAlignment="1">
      <alignment horizontal="center" wrapText="1"/>
    </xf>
    <xf numFmtId="0" fontId="0" fillId="15" borderId="13" xfId="0" applyFill="1" applyBorder="1" applyAlignment="1">
      <alignment horizontal="center" vertical="center"/>
    </xf>
    <xf numFmtId="0" fontId="0" fillId="15" borderId="21" xfId="0" applyFill="1" applyBorder="1" applyAlignment="1">
      <alignment horizontal="center" vertical="center"/>
    </xf>
    <xf numFmtId="44" fontId="0" fillId="0" borderId="43" xfId="0" applyNumberFormat="1" applyBorder="1" applyAlignment="1">
      <alignment vertical="center"/>
    </xf>
    <xf numFmtId="44" fontId="0" fillId="0" borderId="43" xfId="0" applyNumberFormat="1" applyBorder="1" applyAlignment="1">
      <alignment horizontal="center" vertical="center"/>
    </xf>
    <xf numFmtId="44" fontId="0" fillId="15" borderId="9" xfId="0" applyNumberFormat="1" applyFill="1" applyBorder="1" applyAlignment="1">
      <alignment vertical="center"/>
    </xf>
    <xf numFmtId="42" fontId="0" fillId="15" borderId="48" xfId="0" applyNumberFormat="1" applyFill="1" applyBorder="1" applyAlignment="1">
      <alignment vertical="center"/>
    </xf>
    <xf numFmtId="44" fontId="0" fillId="15" borderId="8" xfId="0" applyNumberFormat="1" applyFill="1" applyBorder="1" applyAlignment="1">
      <alignment vertical="center"/>
    </xf>
    <xf numFmtId="44" fontId="0" fillId="15" borderId="26" xfId="0" applyNumberFormat="1" applyFill="1" applyBorder="1" applyAlignment="1">
      <alignment vertical="center"/>
    </xf>
    <xf numFmtId="44" fontId="0" fillId="15" borderId="48" xfId="0" applyNumberFormat="1" applyFill="1" applyBorder="1" applyAlignment="1">
      <alignment vertical="center"/>
    </xf>
    <xf numFmtId="1" fontId="0" fillId="15" borderId="9" xfId="0" applyNumberFormat="1" applyFill="1" applyBorder="1" applyAlignment="1">
      <alignment horizontal="center" vertical="center"/>
    </xf>
    <xf numFmtId="169" fontId="0" fillId="15" borderId="18" xfId="0" applyNumberFormat="1" applyFill="1" applyBorder="1" applyAlignment="1">
      <alignment horizontal="center" vertical="center"/>
    </xf>
    <xf numFmtId="169" fontId="0" fillId="15" borderId="21" xfId="0" applyNumberFormat="1" applyFill="1" applyBorder="1" applyAlignment="1">
      <alignment horizontal="center" vertical="center"/>
    </xf>
    <xf numFmtId="169" fontId="0" fillId="15" borderId="8" xfId="0" applyNumberFormat="1" applyFill="1" applyBorder="1" applyAlignment="1">
      <alignment horizontal="center" vertical="center"/>
    </xf>
    <xf numFmtId="169" fontId="0" fillId="15" borderId="26" xfId="0" applyNumberFormat="1" applyFill="1" applyBorder="1" applyAlignment="1">
      <alignment horizontal="center" vertical="center"/>
    </xf>
    <xf numFmtId="42" fontId="0" fillId="15" borderId="26" xfId="0" applyNumberFormat="1" applyFill="1" applyBorder="1" applyAlignment="1">
      <alignment vertical="center"/>
    </xf>
    <xf numFmtId="44" fontId="0" fillId="15" borderId="36" xfId="0" applyNumberFormat="1" applyFill="1" applyBorder="1" applyAlignment="1">
      <alignment horizontal="center" vertical="center"/>
    </xf>
    <xf numFmtId="169" fontId="0" fillId="15" borderId="43" xfId="0" applyNumberFormat="1" applyFill="1" applyBorder="1" applyAlignment="1">
      <alignment horizontal="center" vertical="center"/>
    </xf>
    <xf numFmtId="169" fontId="0" fillId="15" borderId="35" xfId="0" applyNumberFormat="1" applyFill="1" applyBorder="1" applyAlignment="1">
      <alignment horizontal="center" vertical="center"/>
    </xf>
    <xf numFmtId="44" fontId="3" fillId="3" borderId="48" xfId="0" applyNumberFormat="1" applyFont="1" applyFill="1" applyBorder="1" applyAlignment="1">
      <alignment horizontal="center" vertical="center"/>
    </xf>
    <xf numFmtId="0" fontId="0" fillId="0" borderId="3" xfId="0" applyBorder="1" applyAlignment="1">
      <alignment vertical="center" wrapText="1"/>
    </xf>
    <xf numFmtId="168" fontId="0" fillId="0" borderId="28" xfId="0" applyNumberFormat="1" applyBorder="1" applyAlignment="1">
      <alignment horizontal="center" vertical="center"/>
    </xf>
    <xf numFmtId="44" fontId="0" fillId="17" borderId="9" xfId="0" applyNumberFormat="1" applyFill="1" applyBorder="1" applyAlignment="1">
      <alignment horizontal="center" vertical="center"/>
    </xf>
    <xf numFmtId="0" fontId="27" fillId="0" borderId="0" xfId="0" applyFont="1" applyAlignment="1">
      <alignment vertical="center"/>
    </xf>
    <xf numFmtId="168" fontId="0" fillId="12" borderId="3" xfId="0" applyNumberFormat="1" applyFill="1" applyBorder="1" applyAlignment="1">
      <alignment horizontal="center" vertical="center"/>
    </xf>
    <xf numFmtId="0" fontId="44" fillId="0" borderId="0" xfId="0" applyFont="1"/>
    <xf numFmtId="0" fontId="0" fillId="22" borderId="33" xfId="0" applyFill="1" applyBorder="1" applyAlignment="1">
      <alignment horizontal="center" vertical="center"/>
    </xf>
    <xf numFmtId="0" fontId="0" fillId="22" borderId="35" xfId="0" applyFill="1" applyBorder="1" applyAlignment="1">
      <alignment horizontal="center" vertical="center"/>
    </xf>
    <xf numFmtId="0" fontId="0" fillId="22" borderId="34" xfId="0" applyFill="1" applyBorder="1" applyAlignment="1">
      <alignment horizontal="center" vertical="center"/>
    </xf>
    <xf numFmtId="0" fontId="41" fillId="0" borderId="0" xfId="0" applyFont="1"/>
    <xf numFmtId="42" fontId="3" fillId="2" borderId="23" xfId="0" applyNumberFormat="1" applyFont="1" applyFill="1" applyBorder="1" applyAlignment="1">
      <alignment horizontal="center" wrapText="1"/>
    </xf>
    <xf numFmtId="44" fontId="3" fillId="2" borderId="29" xfId="0" applyNumberFormat="1" applyFont="1" applyFill="1" applyBorder="1" applyAlignment="1">
      <alignment horizontal="center" vertical="center"/>
    </xf>
    <xf numFmtId="0" fontId="0" fillId="0" borderId="8" xfId="0" applyBorder="1" applyAlignment="1">
      <alignment vertical="center"/>
    </xf>
    <xf numFmtId="0" fontId="0" fillId="0" borderId="15" xfId="0" applyBorder="1" applyAlignment="1">
      <alignment vertical="center" wrapText="1"/>
    </xf>
    <xf numFmtId="0" fontId="9" fillId="0" borderId="9" xfId="0" applyFont="1" applyBorder="1" applyAlignment="1">
      <alignment vertical="center" wrapText="1"/>
    </xf>
    <xf numFmtId="0" fontId="9" fillId="0" borderId="26" xfId="0" applyFont="1" applyBorder="1" applyAlignment="1">
      <alignment vertical="center" wrapText="1"/>
    </xf>
    <xf numFmtId="0" fontId="3" fillId="12" borderId="19" xfId="0" applyFont="1" applyFill="1" applyBorder="1" applyAlignment="1">
      <alignment horizontal="center" vertical="center"/>
    </xf>
    <xf numFmtId="6" fontId="11" fillId="3" borderId="3" xfId="1" applyNumberFormat="1" applyFont="1" applyFill="1" applyBorder="1" applyAlignment="1">
      <alignment horizontal="center" vertical="center"/>
    </xf>
    <xf numFmtId="42" fontId="3" fillId="10" borderId="3" xfId="0" applyNumberFormat="1" applyFont="1" applyFill="1" applyBorder="1" applyAlignment="1">
      <alignment horizontal="center"/>
    </xf>
    <xf numFmtId="0" fontId="3" fillId="14" borderId="61" xfId="0" quotePrefix="1" applyFont="1" applyFill="1" applyBorder="1" applyAlignment="1">
      <alignment horizontal="right" vertical="center" wrapText="1"/>
    </xf>
    <xf numFmtId="0" fontId="3" fillId="14" borderId="66" xfId="0" quotePrefix="1" applyFont="1" applyFill="1" applyBorder="1" applyAlignment="1">
      <alignment horizontal="center" vertical="center"/>
    </xf>
    <xf numFmtId="0" fontId="11" fillId="0" borderId="37" xfId="0" applyFont="1" applyBorder="1" applyAlignment="1">
      <alignment vertical="center" wrapText="1"/>
    </xf>
    <xf numFmtId="0" fontId="3" fillId="0" borderId="20" xfId="0" applyFont="1" applyBorder="1" applyAlignment="1">
      <alignment horizontal="right" vertical="center" wrapText="1"/>
    </xf>
    <xf numFmtId="0" fontId="43" fillId="0" borderId="1" xfId="0" applyFont="1" applyBorder="1" applyAlignment="1">
      <alignment horizontal="right" vertical="center" wrapText="1"/>
    </xf>
    <xf numFmtId="0" fontId="43" fillId="0" borderId="17" xfId="0" applyFont="1" applyBorder="1" applyAlignment="1">
      <alignment horizontal="right" vertical="center" wrapText="1"/>
    </xf>
    <xf numFmtId="0" fontId="3" fillId="0" borderId="41" xfId="0" applyFont="1" applyBorder="1" applyAlignment="1">
      <alignment vertical="center"/>
    </xf>
    <xf numFmtId="0" fontId="41" fillId="9" borderId="4" xfId="0" applyFont="1" applyFill="1" applyBorder="1" applyAlignment="1">
      <alignment horizontal="right" vertical="center" wrapText="1"/>
    </xf>
    <xf numFmtId="0" fontId="9" fillId="0" borderId="0" xfId="0" applyFont="1" applyAlignment="1">
      <alignment vertical="center" wrapText="1"/>
    </xf>
    <xf numFmtId="44" fontId="9" fillId="0" borderId="18" xfId="0" applyNumberFormat="1" applyFont="1" applyBorder="1" applyAlignment="1">
      <alignment horizontal="center" vertical="center"/>
    </xf>
    <xf numFmtId="10" fontId="9" fillId="0" borderId="16" xfId="0" applyNumberFormat="1" applyFont="1" applyBorder="1" applyAlignment="1">
      <alignment horizontal="center" vertical="center"/>
    </xf>
    <xf numFmtId="0" fontId="9" fillId="0" borderId="17" xfId="0" applyFont="1" applyBorder="1" applyAlignment="1">
      <alignment horizontal="center" vertical="center"/>
    </xf>
    <xf numFmtId="10" fontId="9" fillId="0" borderId="7" xfId="0" applyNumberFormat="1" applyFont="1" applyBorder="1" applyAlignment="1">
      <alignment horizontal="center" vertical="center"/>
    </xf>
    <xf numFmtId="0" fontId="9" fillId="0" borderId="1" xfId="0" applyFont="1" applyBorder="1" applyAlignment="1">
      <alignment horizontal="center" vertical="center"/>
    </xf>
    <xf numFmtId="10" fontId="9" fillId="0" borderId="68" xfId="0" applyNumberFormat="1" applyFont="1" applyBorder="1" applyAlignment="1">
      <alignment horizontal="center" vertical="center"/>
    </xf>
    <xf numFmtId="0" fontId="9" fillId="0" borderId="20" xfId="0" applyFont="1" applyBorder="1" applyAlignment="1">
      <alignment horizontal="center" vertical="center"/>
    </xf>
    <xf numFmtId="44" fontId="9" fillId="0" borderId="18" xfId="0" applyNumberFormat="1" applyFont="1" applyBorder="1" applyAlignment="1">
      <alignment vertical="center"/>
    </xf>
    <xf numFmtId="44" fontId="9" fillId="0" borderId="21" xfId="0" applyNumberFormat="1" applyFont="1" applyBorder="1" applyAlignment="1">
      <alignment vertical="center"/>
    </xf>
    <xf numFmtId="44" fontId="9" fillId="0" borderId="9" xfId="0" applyNumberFormat="1" applyFont="1" applyBorder="1" applyAlignment="1">
      <alignment vertical="center"/>
    </xf>
    <xf numFmtId="44" fontId="9" fillId="0" borderId="46" xfId="0" applyNumberFormat="1" applyFont="1" applyBorder="1" applyAlignment="1">
      <alignment vertical="center"/>
    </xf>
    <xf numFmtId="0" fontId="11" fillId="12" borderId="9" xfId="0" applyFont="1" applyFill="1" applyBorder="1" applyAlignment="1">
      <alignment horizontal="center" vertical="center"/>
    </xf>
    <xf numFmtId="44" fontId="9" fillId="0" borderId="1" xfId="0" applyNumberFormat="1" applyFont="1" applyBorder="1" applyAlignment="1">
      <alignment vertical="center"/>
    </xf>
    <xf numFmtId="44" fontId="9" fillId="0" borderId="0" xfId="0" applyNumberFormat="1" applyFont="1" applyAlignment="1">
      <alignment vertical="center"/>
    </xf>
    <xf numFmtId="44" fontId="11" fillId="2" borderId="3" xfId="0" applyNumberFormat="1" applyFont="1" applyFill="1" applyBorder="1" applyAlignment="1">
      <alignment horizontal="center" vertical="center"/>
    </xf>
    <xf numFmtId="42" fontId="9" fillId="15" borderId="3" xfId="0" applyNumberFormat="1" applyFont="1" applyFill="1" applyBorder="1" applyAlignment="1">
      <alignment vertical="center"/>
    </xf>
    <xf numFmtId="44" fontId="11" fillId="0" borderId="0" xfId="0" applyNumberFormat="1" applyFont="1" applyAlignment="1">
      <alignment vertical="center"/>
    </xf>
    <xf numFmtId="0" fontId="11" fillId="2" borderId="4" xfId="0" applyFont="1" applyFill="1" applyBorder="1" applyAlignment="1">
      <alignment vertical="center" wrapText="1"/>
    </xf>
    <xf numFmtId="44" fontId="11" fillId="2" borderId="40" xfId="0" applyNumberFormat="1" applyFont="1" applyFill="1" applyBorder="1" applyAlignment="1">
      <alignment vertical="center"/>
    </xf>
    <xf numFmtId="171" fontId="11" fillId="2" borderId="3" xfId="0" applyNumberFormat="1" applyFont="1" applyFill="1" applyBorder="1" applyAlignment="1">
      <alignment horizontal="center" vertical="center"/>
    </xf>
    <xf numFmtId="0" fontId="11" fillId="2" borderId="7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9" fillId="4" borderId="11" xfId="0" applyFont="1" applyFill="1" applyBorder="1" applyAlignment="1">
      <alignment vertical="center"/>
    </xf>
    <xf numFmtId="42" fontId="9" fillId="4" borderId="11" xfId="0" applyNumberFormat="1" applyFont="1" applyFill="1" applyBorder="1" applyAlignment="1">
      <alignment vertical="center"/>
    </xf>
    <xf numFmtId="42" fontId="9" fillId="15" borderId="11" xfId="0" applyNumberFormat="1" applyFont="1" applyFill="1" applyBorder="1" applyAlignment="1">
      <alignment vertical="center"/>
    </xf>
    <xf numFmtId="1" fontId="9" fillId="4" borderId="12" xfId="0" applyNumberFormat="1" applyFont="1" applyFill="1" applyBorder="1" applyAlignment="1">
      <alignment horizontal="center" vertical="center"/>
    </xf>
    <xf numFmtId="42" fontId="9" fillId="15" borderId="1" xfId="0" applyNumberFormat="1" applyFont="1" applyFill="1" applyBorder="1" applyAlignment="1">
      <alignment vertical="center"/>
    </xf>
    <xf numFmtId="42" fontId="9" fillId="0" borderId="1" xfId="0" applyNumberFormat="1" applyFont="1" applyBorder="1" applyAlignment="1">
      <alignment vertical="center"/>
    </xf>
    <xf numFmtId="42" fontId="9" fillId="0" borderId="1" xfId="0" applyNumberFormat="1" applyFont="1" applyBorder="1" applyAlignment="1">
      <alignment horizontal="center" vertical="center"/>
    </xf>
    <xf numFmtId="1" fontId="9" fillId="0" borderId="13" xfId="0" applyNumberFormat="1" applyFont="1" applyBorder="1" applyAlignment="1">
      <alignment horizontal="center" vertical="center"/>
    </xf>
    <xf numFmtId="42" fontId="9" fillId="0" borderId="6" xfId="0" applyNumberFormat="1" applyFont="1" applyBorder="1" applyAlignment="1">
      <alignment vertical="center"/>
    </xf>
    <xf numFmtId="42" fontId="9" fillId="0" borderId="6" xfId="0" applyNumberFormat="1" applyFont="1" applyBorder="1" applyAlignment="1">
      <alignment horizontal="center" vertical="center"/>
    </xf>
    <xf numFmtId="1" fontId="9" fillId="0" borderId="65" xfId="0" applyNumberFormat="1" applyFont="1" applyBorder="1" applyAlignment="1">
      <alignment horizontal="center" vertical="center"/>
    </xf>
    <xf numFmtId="42" fontId="9" fillId="0" borderId="11" xfId="0" applyNumberFormat="1" applyFont="1" applyBorder="1" applyAlignment="1">
      <alignment vertical="center"/>
    </xf>
    <xf numFmtId="0" fontId="9" fillId="0" borderId="11" xfId="0" applyFont="1" applyBorder="1" applyAlignment="1">
      <alignment vertical="center"/>
    </xf>
    <xf numFmtId="1" fontId="9" fillId="0" borderId="12" xfId="0" applyNumberFormat="1" applyFont="1" applyBorder="1" applyAlignment="1">
      <alignment horizontal="center" vertical="center"/>
    </xf>
    <xf numFmtId="42" fontId="9" fillId="0" borderId="1" xfId="0" quotePrefix="1" applyNumberFormat="1" applyFont="1" applyBorder="1" applyAlignment="1">
      <alignment vertical="center"/>
    </xf>
    <xf numFmtId="1" fontId="9" fillId="0" borderId="13" xfId="0" quotePrefix="1" applyNumberFormat="1" applyFont="1" applyBorder="1" applyAlignment="1">
      <alignment horizontal="center" vertical="center"/>
    </xf>
    <xf numFmtId="0" fontId="9" fillId="4" borderId="1" xfId="0" applyFont="1" applyFill="1" applyBorder="1" applyAlignment="1">
      <alignment vertical="center" wrapText="1"/>
    </xf>
    <xf numFmtId="42" fontId="9" fillId="4" borderId="1" xfId="0" applyNumberFormat="1" applyFont="1" applyFill="1" applyBorder="1" applyAlignment="1">
      <alignment vertical="center"/>
    </xf>
    <xf numFmtId="42" fontId="9" fillId="15" borderId="1" xfId="0" applyNumberFormat="1" applyFont="1" applyFill="1" applyBorder="1" applyAlignment="1">
      <alignment horizontal="center" vertical="center"/>
    </xf>
    <xf numFmtId="42" fontId="9" fillId="4" borderId="1" xfId="0" applyNumberFormat="1" applyFont="1" applyFill="1" applyBorder="1" applyAlignment="1">
      <alignment horizontal="center" vertical="center"/>
    </xf>
    <xf numFmtId="1" fontId="9" fillId="4" borderId="13" xfId="0" applyNumberFormat="1" applyFont="1" applyFill="1" applyBorder="1" applyAlignment="1">
      <alignment horizontal="center" vertical="center"/>
    </xf>
    <xf numFmtId="0" fontId="24" fillId="18" borderId="1" xfId="0" applyFont="1" applyFill="1" applyBorder="1" applyAlignment="1">
      <alignment vertical="center" wrapText="1"/>
    </xf>
    <xf numFmtId="0" fontId="24" fillId="18" borderId="20" xfId="0" applyFont="1" applyFill="1" applyBorder="1" applyAlignment="1">
      <alignment vertical="center" wrapText="1"/>
    </xf>
    <xf numFmtId="44" fontId="71" fillId="0" borderId="20" xfId="0" applyNumberFormat="1"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42" fontId="9" fillId="0" borderId="11" xfId="0" applyNumberFormat="1" applyFont="1" applyBorder="1" applyAlignment="1">
      <alignment horizontal="center" vertical="center"/>
    </xf>
    <xf numFmtId="0" fontId="72" fillId="0" borderId="1" xfId="0" applyFont="1" applyBorder="1" applyAlignment="1">
      <alignment vertical="center" wrapText="1"/>
    </xf>
    <xf numFmtId="42" fontId="9" fillId="0" borderId="20" xfId="0" applyNumberFormat="1" applyFont="1" applyBorder="1" applyAlignment="1">
      <alignment vertical="center"/>
    </xf>
    <xf numFmtId="1" fontId="9" fillId="0" borderId="21" xfId="0" applyNumberFormat="1" applyFont="1" applyBorder="1" applyAlignment="1">
      <alignment horizontal="center" vertical="center"/>
    </xf>
    <xf numFmtId="42" fontId="43" fillId="3" borderId="4" xfId="0" applyNumberFormat="1" applyFont="1" applyFill="1" applyBorder="1" applyAlignment="1">
      <alignment horizontal="center" vertical="center"/>
    </xf>
    <xf numFmtId="42" fontId="11" fillId="3" borderId="4" xfId="0" applyNumberFormat="1" applyFont="1" applyFill="1" applyBorder="1" applyAlignment="1">
      <alignment vertical="center"/>
    </xf>
    <xf numFmtId="1" fontId="11" fillId="3" borderId="5" xfId="0" applyNumberFormat="1" applyFont="1" applyFill="1" applyBorder="1" applyAlignment="1">
      <alignment horizontal="center" vertical="center"/>
    </xf>
    <xf numFmtId="42" fontId="9" fillId="0" borderId="0" xfId="0" applyNumberFormat="1" applyFont="1" applyAlignment="1">
      <alignment vertical="center"/>
    </xf>
    <xf numFmtId="44" fontId="9" fillId="0" borderId="39" xfId="0" applyNumberFormat="1" applyFont="1" applyBorder="1" applyAlignment="1">
      <alignment vertical="center"/>
    </xf>
    <xf numFmtId="44" fontId="11" fillId="2" borderId="19" xfId="0" applyNumberFormat="1" applyFont="1" applyFill="1" applyBorder="1" applyAlignment="1">
      <alignment horizontal="center" vertical="center"/>
    </xf>
    <xf numFmtId="42" fontId="9" fillId="15" borderId="38" xfId="0" applyNumberFormat="1" applyFont="1" applyFill="1" applyBorder="1" applyAlignment="1">
      <alignment horizontal="center" vertical="center"/>
    </xf>
    <xf numFmtId="42" fontId="9" fillId="15" borderId="20" xfId="0" applyNumberFormat="1" applyFont="1" applyFill="1" applyBorder="1" applyAlignment="1">
      <alignment horizontal="center" vertical="center"/>
    </xf>
    <xf numFmtId="42" fontId="9" fillId="0" borderId="20" xfId="0" applyNumberFormat="1" applyFont="1" applyBorder="1" applyAlignment="1">
      <alignment horizontal="center" vertical="center"/>
    </xf>
    <xf numFmtId="10" fontId="9" fillId="0" borderId="20" xfId="0" applyNumberFormat="1" applyFont="1" applyBorder="1" applyAlignment="1">
      <alignment horizontal="center" vertical="center"/>
    </xf>
    <xf numFmtId="42" fontId="9" fillId="15" borderId="39" xfId="0" applyNumberFormat="1" applyFont="1" applyFill="1" applyBorder="1" applyAlignment="1">
      <alignment horizontal="center" vertical="center"/>
    </xf>
    <xf numFmtId="42" fontId="9" fillId="15" borderId="17" xfId="0" applyNumberFormat="1" applyFont="1" applyFill="1" applyBorder="1" applyAlignment="1">
      <alignment horizontal="center" vertical="center"/>
    </xf>
    <xf numFmtId="42" fontId="9" fillId="0" borderId="17" xfId="0" applyNumberFormat="1" applyFont="1" applyBorder="1" applyAlignment="1">
      <alignment horizontal="center" vertical="center"/>
    </xf>
    <xf numFmtId="42" fontId="9" fillId="15" borderId="41" xfId="0" applyNumberFormat="1" applyFont="1" applyFill="1" applyBorder="1" applyAlignment="1">
      <alignment horizontal="center" vertical="center"/>
    </xf>
    <xf numFmtId="10" fontId="9" fillId="0" borderId="6" xfId="0" applyNumberFormat="1" applyFont="1" applyBorder="1" applyAlignment="1">
      <alignment horizontal="center" vertical="center"/>
    </xf>
    <xf numFmtId="42" fontId="9" fillId="15" borderId="42" xfId="0" applyNumberFormat="1" applyFont="1" applyFill="1" applyBorder="1" applyAlignment="1">
      <alignment horizontal="center" vertical="center"/>
    </xf>
    <xf numFmtId="44" fontId="9" fillId="0" borderId="11" xfId="0" applyNumberFormat="1" applyFont="1" applyBorder="1" applyAlignment="1">
      <alignment vertical="center" wrapText="1"/>
    </xf>
    <xf numFmtId="168" fontId="9" fillId="0" borderId="38" xfId="0" applyNumberFormat="1" applyFont="1" applyBorder="1" applyAlignment="1">
      <alignment horizontal="center" vertical="center"/>
    </xf>
    <xf numFmtId="44" fontId="9" fillId="0" borderId="1" xfId="0" applyNumberFormat="1" applyFont="1" applyBorder="1" applyAlignment="1">
      <alignment vertical="center" wrapText="1"/>
    </xf>
    <xf numFmtId="168" fontId="9" fillId="0" borderId="37" xfId="0" applyNumberFormat="1" applyFont="1" applyBorder="1" applyAlignment="1">
      <alignment horizontal="center" vertical="center"/>
    </xf>
    <xf numFmtId="168" fontId="9" fillId="0" borderId="39" xfId="0" applyNumberFormat="1" applyFont="1" applyBorder="1" applyAlignment="1">
      <alignment horizontal="center" vertical="center"/>
    </xf>
    <xf numFmtId="42" fontId="9" fillId="0" borderId="1" xfId="0" applyNumberFormat="1" applyFont="1" applyBorder="1" applyAlignment="1">
      <alignment vertical="center" wrapText="1"/>
    </xf>
    <xf numFmtId="42" fontId="9" fillId="0" borderId="20" xfId="0" applyNumberFormat="1" applyFont="1" applyBorder="1" applyAlignment="1">
      <alignment vertical="center" wrapText="1"/>
    </xf>
    <xf numFmtId="168" fontId="9" fillId="0" borderId="37" xfId="0" applyNumberFormat="1" applyFont="1" applyBorder="1" applyAlignment="1">
      <alignment horizontal="center" vertical="center" wrapText="1"/>
    </xf>
    <xf numFmtId="168" fontId="9" fillId="0" borderId="39" xfId="0" applyNumberFormat="1" applyFont="1" applyBorder="1" applyAlignment="1">
      <alignment horizontal="center" vertical="center" wrapText="1"/>
    </xf>
    <xf numFmtId="44" fontId="9" fillId="0" borderId="6" xfId="0" applyNumberFormat="1" applyFont="1" applyBorder="1" applyAlignment="1">
      <alignment vertical="center" wrapText="1"/>
    </xf>
    <xf numFmtId="168" fontId="9" fillId="0" borderId="42" xfId="0" applyNumberFormat="1" applyFont="1" applyBorder="1" applyAlignment="1">
      <alignment horizontal="center" vertical="center"/>
    </xf>
    <xf numFmtId="10" fontId="9" fillId="0" borderId="17" xfId="0" applyNumberFormat="1" applyFont="1" applyBorder="1" applyAlignment="1">
      <alignment horizontal="center" vertical="center"/>
    </xf>
    <xf numFmtId="165" fontId="9" fillId="0" borderId="1" xfId="0" applyNumberFormat="1" applyFont="1" applyBorder="1" applyAlignment="1">
      <alignment horizontal="center" vertical="center"/>
    </xf>
    <xf numFmtId="10" fontId="9" fillId="0" borderId="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64" xfId="0" applyFont="1" applyBorder="1" applyAlignment="1">
      <alignment horizontal="center" vertical="center"/>
    </xf>
    <xf numFmtId="0" fontId="9" fillId="0" borderId="35" xfId="0" applyFont="1" applyBorder="1" applyAlignment="1">
      <alignment horizontal="center" vertical="center"/>
    </xf>
    <xf numFmtId="0" fontId="3" fillId="0" borderId="57" xfId="0" applyFont="1" applyBorder="1" applyAlignment="1">
      <alignment vertical="center" wrapText="1"/>
    </xf>
    <xf numFmtId="44" fontId="0" fillId="15" borderId="24" xfId="0" applyNumberFormat="1" applyFill="1" applyBorder="1" applyAlignment="1">
      <alignment vertical="center"/>
    </xf>
    <xf numFmtId="0" fontId="41" fillId="23" borderId="48" xfId="0" applyFont="1" applyFill="1" applyBorder="1" applyAlignment="1">
      <alignment horizontal="right" vertical="top" wrapText="1"/>
    </xf>
    <xf numFmtId="0" fontId="27" fillId="0" borderId="0" xfId="0" applyFont="1" applyAlignment="1">
      <alignment vertical="center" wrapText="1"/>
    </xf>
    <xf numFmtId="0" fontId="2" fillId="2" borderId="49" xfId="0" applyFont="1" applyFill="1"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44" fontId="3" fillId="3" borderId="32" xfId="0" applyNumberFormat="1" applyFont="1" applyFill="1" applyBorder="1" applyAlignment="1">
      <alignment vertical="center"/>
    </xf>
    <xf numFmtId="42" fontId="3" fillId="23" borderId="29" xfId="0" applyNumberFormat="1" applyFont="1" applyFill="1" applyBorder="1" applyAlignment="1">
      <alignment vertical="center"/>
    </xf>
    <xf numFmtId="0" fontId="3" fillId="23" borderId="24" xfId="0" applyFont="1" applyFill="1" applyBorder="1" applyAlignment="1">
      <alignment horizontal="right" vertical="center"/>
    </xf>
    <xf numFmtId="0" fontId="0" fillId="17" borderId="48" xfId="0" applyFill="1" applyBorder="1" applyAlignment="1">
      <alignment vertical="center"/>
    </xf>
    <xf numFmtId="44" fontId="15" fillId="2" borderId="24" xfId="0" applyNumberFormat="1" applyFont="1" applyFill="1" applyBorder="1" applyAlignment="1">
      <alignment horizontal="center" vertical="center" wrapText="1"/>
    </xf>
    <xf numFmtId="0" fontId="3" fillId="2" borderId="56" xfId="0" applyFont="1" applyFill="1" applyBorder="1" applyAlignment="1">
      <alignment horizontal="right" vertical="center" wrapText="1"/>
    </xf>
    <xf numFmtId="0" fontId="3" fillId="2" borderId="57" xfId="0" applyFont="1" applyFill="1" applyBorder="1" applyAlignment="1">
      <alignment horizontal="right" vertical="center" wrapText="1"/>
    </xf>
    <xf numFmtId="44" fontId="3" fillId="15" borderId="31" xfId="0" applyNumberFormat="1" applyFont="1" applyFill="1" applyBorder="1" applyAlignment="1">
      <alignment vertical="center"/>
    </xf>
    <xf numFmtId="44" fontId="3" fillId="15" borderId="32" xfId="0" applyNumberFormat="1" applyFont="1" applyFill="1" applyBorder="1" applyAlignment="1">
      <alignment vertical="center"/>
    </xf>
    <xf numFmtId="44" fontId="3" fillId="15" borderId="8" xfId="0" applyNumberFormat="1" applyFont="1" applyFill="1" applyBorder="1" applyAlignment="1">
      <alignment vertical="center"/>
    </xf>
    <xf numFmtId="177" fontId="0" fillId="0" borderId="0" xfId="0" applyNumberFormat="1" applyAlignment="1">
      <alignment vertical="center"/>
    </xf>
    <xf numFmtId="0" fontId="0" fillId="0" borderId="64" xfId="0" applyBorder="1" applyAlignment="1">
      <alignment horizontal="center"/>
    </xf>
    <xf numFmtId="0" fontId="0" fillId="14" borderId="28" xfId="0" applyFill="1" applyBorder="1" applyAlignment="1">
      <alignment horizontal="center" vertical="center"/>
    </xf>
    <xf numFmtId="0" fontId="3" fillId="2" borderId="48" xfId="0" applyFont="1" applyFill="1" applyBorder="1" applyAlignment="1">
      <alignment horizontal="center" vertical="center"/>
    </xf>
    <xf numFmtId="0" fontId="3" fillId="14" borderId="48" xfId="0" applyFont="1" applyFill="1" applyBorder="1" applyAlignment="1">
      <alignment horizontal="right"/>
    </xf>
    <xf numFmtId="0" fontId="3" fillId="3" borderId="36" xfId="0" applyFont="1" applyFill="1" applyBorder="1" applyAlignment="1">
      <alignment horizontal="right"/>
    </xf>
    <xf numFmtId="0" fontId="2" fillId="2" borderId="48" xfId="0" applyFont="1" applyFill="1" applyBorder="1"/>
    <xf numFmtId="0" fontId="2" fillId="2" borderId="19" xfId="0" applyFont="1" applyFill="1" applyBorder="1"/>
    <xf numFmtId="0" fontId="0" fillId="0" borderId="56" xfId="0" quotePrefix="1" applyBorder="1"/>
    <xf numFmtId="0" fontId="0" fillId="0" borderId="54" xfId="0" quotePrefix="1" applyBorder="1"/>
    <xf numFmtId="0" fontId="0" fillId="0" borderId="57" xfId="0" quotePrefix="1" applyBorder="1"/>
    <xf numFmtId="0" fontId="0" fillId="15" borderId="75" xfId="0" applyFill="1" applyBorder="1"/>
    <xf numFmtId="42" fontId="0" fillId="0" borderId="20" xfId="0" applyNumberFormat="1" applyBorder="1" applyAlignment="1">
      <alignment horizontal="right"/>
    </xf>
    <xf numFmtId="0" fontId="29" fillId="0" borderId="0" xfId="0" quotePrefix="1" applyFont="1" applyAlignment="1">
      <alignment horizontal="left"/>
    </xf>
    <xf numFmtId="42" fontId="29" fillId="0" borderId="20" xfId="0" applyNumberFormat="1" applyFont="1" applyBorder="1" applyAlignment="1">
      <alignment horizontal="center"/>
    </xf>
    <xf numFmtId="42" fontId="40" fillId="0" borderId="21" xfId="0" applyNumberFormat="1" applyFont="1" applyBorder="1" applyAlignment="1">
      <alignment horizontal="center" vertical="center"/>
    </xf>
    <xf numFmtId="42" fontId="0" fillId="15" borderId="41" xfId="0" applyNumberFormat="1" applyFill="1" applyBorder="1" applyAlignment="1">
      <alignment horizontal="center"/>
    </xf>
    <xf numFmtId="42" fontId="0" fillId="15" borderId="37" xfId="0" applyNumberFormat="1" applyFill="1" applyBorder="1" applyAlignment="1">
      <alignment horizontal="center"/>
    </xf>
    <xf numFmtId="42" fontId="0" fillId="15" borderId="39" xfId="0" applyNumberFormat="1" applyFill="1" applyBorder="1" applyAlignment="1">
      <alignment horizontal="center"/>
    </xf>
    <xf numFmtId="42" fontId="3" fillId="3" borderId="40" xfId="0" applyNumberFormat="1" applyFont="1" applyFill="1" applyBorder="1" applyAlignment="1">
      <alignment horizontal="center"/>
    </xf>
    <xf numFmtId="42" fontId="29" fillId="14" borderId="4" xfId="0" applyNumberFormat="1" applyFont="1" applyFill="1" applyBorder="1" applyAlignment="1">
      <alignment horizontal="center"/>
    </xf>
    <xf numFmtId="42" fontId="29" fillId="14" borderId="5" xfId="0" applyNumberFormat="1" applyFont="1" applyFill="1" applyBorder="1" applyAlignment="1">
      <alignment horizontal="center"/>
    </xf>
    <xf numFmtId="0" fontId="2" fillId="2" borderId="70" xfId="0" applyFont="1" applyFill="1" applyBorder="1"/>
    <xf numFmtId="0" fontId="3" fillId="14" borderId="70" xfId="0" applyFont="1" applyFill="1" applyBorder="1" applyAlignment="1">
      <alignment horizontal="right"/>
    </xf>
    <xf numFmtId="0" fontId="0" fillId="15" borderId="10" xfId="0" applyFill="1" applyBorder="1" applyAlignment="1">
      <alignment horizontal="center"/>
    </xf>
    <xf numFmtId="0" fontId="11" fillId="2" borderId="3" xfId="0" applyFont="1" applyFill="1" applyBorder="1"/>
    <xf numFmtId="0" fontId="11" fillId="0" borderId="8" xfId="0" applyFont="1" applyBorder="1"/>
    <xf numFmtId="0" fontId="11" fillId="0" borderId="9" xfId="0" applyFont="1" applyBorder="1"/>
    <xf numFmtId="0" fontId="11" fillId="0" borderId="10" xfId="0" applyFont="1" applyBorder="1"/>
    <xf numFmtId="42" fontId="9" fillId="15" borderId="50" xfId="0" applyNumberFormat="1" applyFont="1" applyFill="1" applyBorder="1" applyAlignment="1">
      <alignment horizontal="center"/>
    </xf>
    <xf numFmtId="42" fontId="9" fillId="15" borderId="72" xfId="0" applyNumberFormat="1" applyFont="1" applyFill="1" applyBorder="1" applyAlignment="1">
      <alignment horizontal="center"/>
    </xf>
    <xf numFmtId="42" fontId="9" fillId="15" borderId="32" xfId="0" applyNumberFormat="1" applyFont="1" applyFill="1" applyBorder="1" applyAlignment="1">
      <alignment horizontal="center"/>
    </xf>
    <xf numFmtId="0" fontId="11" fillId="14" borderId="23" xfId="0" applyFont="1" applyFill="1" applyBorder="1" applyAlignment="1">
      <alignment horizontal="right"/>
    </xf>
    <xf numFmtId="42" fontId="3" fillId="14" borderId="50" xfId="0" applyNumberFormat="1" applyFont="1" applyFill="1" applyBorder="1"/>
    <xf numFmtId="0" fontId="43" fillId="3" borderId="3" xfId="0" applyFont="1" applyFill="1" applyBorder="1" applyAlignment="1">
      <alignment horizontal="right"/>
    </xf>
    <xf numFmtId="42" fontId="41" fillId="3" borderId="28" xfId="0" applyNumberFormat="1" applyFont="1" applyFill="1" applyBorder="1"/>
    <xf numFmtId="42" fontId="41" fillId="3" borderId="3" xfId="0" applyNumberFormat="1" applyFont="1" applyFill="1" applyBorder="1"/>
    <xf numFmtId="44" fontId="41" fillId="3" borderId="24" xfId="0" applyNumberFormat="1" applyFont="1" applyFill="1" applyBorder="1"/>
    <xf numFmtId="175" fontId="41" fillId="15" borderId="3" xfId="0" applyNumberFormat="1" applyFont="1" applyFill="1" applyBorder="1" applyAlignment="1">
      <alignment horizontal="center"/>
    </xf>
    <xf numFmtId="0" fontId="0" fillId="22" borderId="53" xfId="0" applyFill="1" applyBorder="1" applyAlignment="1">
      <alignment horizontal="center" vertical="center"/>
    </xf>
    <xf numFmtId="0" fontId="0" fillId="22" borderId="54" xfId="0" applyFill="1" applyBorder="1" applyAlignment="1">
      <alignment horizontal="center" vertical="center"/>
    </xf>
    <xf numFmtId="0" fontId="0" fillId="22" borderId="57" xfId="0" applyFill="1" applyBorder="1" applyAlignment="1">
      <alignment horizontal="center" vertical="center"/>
    </xf>
    <xf numFmtId="0" fontId="0" fillId="10" borderId="34" xfId="0" applyFill="1" applyBorder="1"/>
    <xf numFmtId="0" fontId="0" fillId="10" borderId="13" xfId="0" applyFill="1" applyBorder="1" applyAlignment="1">
      <alignment horizontal="center"/>
    </xf>
    <xf numFmtId="0" fontId="0" fillId="10" borderId="35" xfId="0" applyFill="1" applyBorder="1"/>
    <xf numFmtId="0" fontId="0" fillId="17" borderId="9" xfId="0" applyFill="1" applyBorder="1" applyAlignment="1">
      <alignment vertical="center"/>
    </xf>
    <xf numFmtId="0" fontId="0" fillId="17" borderId="26" xfId="0" applyFill="1" applyBorder="1" applyAlignment="1">
      <alignment vertical="center"/>
    </xf>
    <xf numFmtId="175" fontId="41" fillId="15" borderId="28" xfId="0" applyNumberFormat="1" applyFont="1" applyFill="1" applyBorder="1" applyAlignment="1">
      <alignment horizontal="center"/>
    </xf>
    <xf numFmtId="44" fontId="0" fillId="15" borderId="73" xfId="0" applyNumberFormat="1" applyFill="1" applyBorder="1"/>
    <xf numFmtId="44" fontId="0" fillId="15" borderId="68" xfId="0" applyNumberFormat="1" applyFill="1" applyBorder="1"/>
    <xf numFmtId="0" fontId="3" fillId="2" borderId="8" xfId="0" applyFont="1" applyFill="1" applyBorder="1" applyAlignment="1">
      <alignment horizontal="right"/>
    </xf>
    <xf numFmtId="0" fontId="3" fillId="2" borderId="26" xfId="0" applyFont="1" applyFill="1" applyBorder="1" applyAlignment="1">
      <alignment horizontal="right"/>
    </xf>
    <xf numFmtId="42" fontId="0" fillId="15" borderId="30" xfId="0" applyNumberFormat="1" applyFill="1" applyBorder="1" applyAlignment="1">
      <alignment horizontal="center"/>
    </xf>
    <xf numFmtId="42" fontId="41" fillId="15" borderId="3" xfId="0" applyNumberFormat="1" applyFont="1" applyFill="1" applyBorder="1" applyAlignment="1">
      <alignment horizontal="left"/>
    </xf>
    <xf numFmtId="44" fontId="3" fillId="2" borderId="77" xfId="0" applyNumberFormat="1" applyFont="1" applyFill="1" applyBorder="1" applyAlignment="1">
      <alignment horizontal="center" vertical="center"/>
    </xf>
    <xf numFmtId="42" fontId="9" fillId="0" borderId="73" xfId="0" applyNumberFormat="1" applyFont="1" applyBorder="1" applyAlignment="1">
      <alignment horizontal="center" vertical="center"/>
    </xf>
    <xf numFmtId="42" fontId="9" fillId="15" borderId="68" xfId="0" applyNumberFormat="1" applyFont="1" applyFill="1" applyBorder="1" applyAlignment="1">
      <alignment horizontal="center" vertical="center"/>
    </xf>
    <xf numFmtId="0" fontId="51" fillId="20" borderId="48" xfId="0" applyFont="1" applyFill="1" applyBorder="1" applyAlignment="1">
      <alignment horizontal="center" vertical="center"/>
    </xf>
    <xf numFmtId="0" fontId="52" fillId="20" borderId="19" xfId="0" applyFont="1" applyFill="1" applyBorder="1" applyAlignment="1">
      <alignment vertical="center"/>
    </xf>
    <xf numFmtId="44" fontId="51" fillId="20" borderId="19" xfId="0" applyNumberFormat="1" applyFont="1" applyFill="1" applyBorder="1" applyAlignment="1">
      <alignment vertical="center"/>
    </xf>
    <xf numFmtId="0" fontId="51" fillId="20" borderId="19" xfId="0" applyFont="1" applyFill="1" applyBorder="1" applyAlignment="1">
      <alignment vertical="center"/>
    </xf>
    <xf numFmtId="0" fontId="51" fillId="20" borderId="28" xfId="0" applyFont="1" applyFill="1" applyBorder="1" applyAlignment="1">
      <alignment vertical="center"/>
    </xf>
    <xf numFmtId="0" fontId="38" fillId="0" borderId="0" xfId="0" applyFont="1" applyAlignment="1">
      <alignment vertical="center"/>
    </xf>
    <xf numFmtId="0" fontId="9" fillId="18" borderId="1" xfId="0" applyFont="1" applyFill="1" applyBorder="1" applyAlignment="1">
      <alignment vertical="center" wrapText="1"/>
    </xf>
    <xf numFmtId="0" fontId="9" fillId="18" borderId="20" xfId="0" applyFont="1" applyFill="1" applyBorder="1" applyAlignment="1">
      <alignment vertical="center" wrapText="1"/>
    </xf>
    <xf numFmtId="170" fontId="3" fillId="12" borderId="9" xfId="0" applyNumberFormat="1" applyFont="1" applyFill="1" applyBorder="1" applyAlignment="1">
      <alignment horizontal="center" vertical="center"/>
    </xf>
    <xf numFmtId="0" fontId="0" fillId="0" borderId="24" xfId="0" applyBorder="1" applyAlignment="1">
      <alignment horizontal="left" vertical="center"/>
    </xf>
    <xf numFmtId="0" fontId="3" fillId="12" borderId="3" xfId="0" applyFont="1" applyFill="1" applyBorder="1" applyAlignment="1">
      <alignment horizontal="center" vertical="center"/>
    </xf>
    <xf numFmtId="0" fontId="3" fillId="2" borderId="3" xfId="0" applyFont="1" applyFill="1" applyBorder="1" applyAlignment="1">
      <alignment vertical="center" wrapText="1"/>
    </xf>
    <xf numFmtId="0" fontId="0" fillId="0" borderId="38" xfId="0" quotePrefix="1" applyBorder="1" applyAlignment="1">
      <alignment vertical="top" wrapText="1"/>
    </xf>
    <xf numFmtId="0" fontId="0" fillId="0" borderId="37" xfId="0" applyBorder="1" applyAlignment="1">
      <alignment vertical="top" wrapText="1"/>
    </xf>
    <xf numFmtId="0" fontId="0" fillId="0" borderId="39" xfId="0" quotePrefix="1" applyBorder="1" applyAlignment="1">
      <alignment vertical="top" wrapText="1"/>
    </xf>
    <xf numFmtId="42" fontId="0" fillId="15" borderId="15" xfId="0" applyNumberFormat="1" applyFill="1" applyBorder="1"/>
    <xf numFmtId="42" fontId="0" fillId="15" borderId="10" xfId="0" applyNumberFormat="1" applyFill="1" applyBorder="1"/>
    <xf numFmtId="0" fontId="10" fillId="0" borderId="0" xfId="0" applyFont="1"/>
    <xf numFmtId="42" fontId="0" fillId="0" borderId="0" xfId="0" applyNumberFormat="1"/>
    <xf numFmtId="0" fontId="74" fillId="20" borderId="19"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44" fontId="3" fillId="15" borderId="15" xfId="0" applyNumberFormat="1" applyFont="1" applyFill="1" applyBorder="1" applyAlignment="1">
      <alignment horizontal="center" vertical="center"/>
    </xf>
    <xf numFmtId="0" fontId="0" fillId="0" borderId="14" xfId="0" applyBorder="1"/>
    <xf numFmtId="44" fontId="0" fillId="15" borderId="45" xfId="0" applyNumberFormat="1" applyFill="1" applyBorder="1" applyAlignment="1">
      <alignment vertical="center"/>
    </xf>
    <xf numFmtId="44" fontId="0" fillId="15" borderId="47" xfId="0" applyNumberFormat="1" applyFill="1" applyBorder="1" applyAlignment="1">
      <alignment vertical="center"/>
    </xf>
    <xf numFmtId="44" fontId="0" fillId="15" borderId="31" xfId="0" applyNumberFormat="1" applyFill="1" applyBorder="1" applyAlignment="1">
      <alignment vertical="center"/>
    </xf>
    <xf numFmtId="44" fontId="0" fillId="15" borderId="32" xfId="0" applyNumberFormat="1" applyFill="1" applyBorder="1" applyAlignment="1">
      <alignment vertical="center"/>
    </xf>
    <xf numFmtId="44" fontId="3" fillId="0" borderId="8" xfId="0" applyNumberFormat="1" applyFont="1" applyBorder="1" applyAlignment="1">
      <alignment horizontal="right" vertical="center"/>
    </xf>
    <xf numFmtId="44" fontId="3" fillId="0" borderId="26" xfId="0" applyNumberFormat="1" applyFont="1" applyBorder="1" applyAlignment="1">
      <alignment horizontal="right" vertical="center"/>
    </xf>
    <xf numFmtId="44" fontId="0" fillId="15" borderId="8" xfId="0" applyNumberFormat="1" applyFill="1" applyBorder="1" applyAlignment="1">
      <alignment horizontal="center" vertical="center"/>
    </xf>
    <xf numFmtId="44" fontId="0" fillId="15" borderId="26" xfId="0" applyNumberFormat="1" applyFill="1" applyBorder="1" applyAlignment="1">
      <alignment horizontal="center" vertical="center"/>
    </xf>
    <xf numFmtId="44" fontId="3" fillId="15" borderId="45" xfId="0" applyNumberFormat="1" applyFont="1" applyFill="1" applyBorder="1" applyAlignment="1">
      <alignment vertical="center"/>
    </xf>
    <xf numFmtId="44" fontId="3" fillId="15" borderId="76" xfId="0" applyNumberFormat="1" applyFont="1" applyFill="1" applyBorder="1" applyAlignment="1">
      <alignment vertical="center"/>
    </xf>
    <xf numFmtId="0" fontId="2" fillId="5" borderId="3" xfId="0" applyFont="1" applyFill="1" applyBorder="1" applyAlignment="1">
      <alignment vertical="center" wrapText="1"/>
    </xf>
    <xf numFmtId="44" fontId="3" fillId="15" borderId="9" xfId="0" applyNumberFormat="1" applyFont="1" applyFill="1" applyBorder="1" applyAlignment="1">
      <alignment horizontal="center" vertical="center"/>
    </xf>
    <xf numFmtId="44" fontId="3" fillId="15" borderId="26" xfId="0" applyNumberFormat="1" applyFont="1" applyFill="1" applyBorder="1" applyAlignment="1">
      <alignment horizontal="center" vertical="center"/>
    </xf>
    <xf numFmtId="44" fontId="3" fillId="3" borderId="73" xfId="0" applyNumberFormat="1" applyFont="1" applyFill="1" applyBorder="1" applyAlignment="1">
      <alignment vertical="center"/>
    </xf>
    <xf numFmtId="42" fontId="3" fillId="20" borderId="3" xfId="0" applyNumberFormat="1" applyFont="1" applyFill="1" applyBorder="1" applyAlignment="1">
      <alignment horizontal="center" vertical="center"/>
    </xf>
    <xf numFmtId="42" fontId="3" fillId="6" borderId="3" xfId="0" applyNumberFormat="1" applyFont="1" applyFill="1" applyBorder="1" applyAlignment="1">
      <alignment horizontal="center" vertical="center"/>
    </xf>
    <xf numFmtId="42" fontId="11" fillId="14" borderId="3" xfId="0" applyNumberFormat="1" applyFont="1" applyFill="1" applyBorder="1" applyAlignment="1">
      <alignment horizontal="center" vertical="center"/>
    </xf>
    <xf numFmtId="42" fontId="33" fillId="0" borderId="10" xfId="0" applyNumberFormat="1" applyFont="1" applyBorder="1" applyAlignment="1">
      <alignment horizontal="center" vertical="center"/>
    </xf>
    <xf numFmtId="42" fontId="33" fillId="0" borderId="24" xfId="0" applyNumberFormat="1" applyFont="1" applyBorder="1" applyAlignment="1">
      <alignment horizontal="center" vertical="center"/>
    </xf>
    <xf numFmtId="42" fontId="11" fillId="14" borderId="14" xfId="0" applyNumberFormat="1" applyFont="1" applyFill="1" applyBorder="1" applyAlignment="1">
      <alignment horizontal="center" vertical="center"/>
    </xf>
    <xf numFmtId="42" fontId="33" fillId="6" borderId="14" xfId="0" applyNumberFormat="1" applyFont="1" applyFill="1" applyBorder="1" applyAlignment="1">
      <alignment horizontal="center" vertical="center"/>
    </xf>
    <xf numFmtId="42" fontId="33" fillId="6" borderId="3" xfId="0" applyNumberFormat="1" applyFont="1" applyFill="1" applyBorder="1" applyAlignment="1">
      <alignment horizontal="center" vertical="center"/>
    </xf>
    <xf numFmtId="42" fontId="11" fillId="15" borderId="9" xfId="0" applyNumberFormat="1" applyFont="1" applyFill="1" applyBorder="1" applyAlignment="1">
      <alignment horizontal="center" vertical="center"/>
    </xf>
    <xf numFmtId="42" fontId="33" fillId="17" borderId="10" xfId="0" applyNumberFormat="1" applyFont="1" applyFill="1" applyBorder="1" applyAlignment="1">
      <alignment horizontal="center" vertical="center"/>
    </xf>
    <xf numFmtId="42" fontId="61" fillId="0" borderId="26" xfId="0" quotePrefix="1" applyNumberFormat="1" applyFont="1" applyBorder="1" applyAlignment="1">
      <alignment horizontal="center" vertical="center"/>
    </xf>
    <xf numFmtId="42" fontId="33" fillId="0" borderId="15" xfId="0" applyNumberFormat="1" applyFont="1" applyBorder="1" applyAlignment="1">
      <alignment horizontal="center" vertical="center"/>
    </xf>
    <xf numFmtId="42" fontId="33" fillId="0" borderId="14" xfId="0" applyNumberFormat="1" applyFont="1" applyBorder="1" applyAlignment="1">
      <alignment horizontal="center" vertical="center"/>
    </xf>
    <xf numFmtId="42" fontId="3" fillId="0" borderId="15" xfId="0" applyNumberFormat="1" applyFont="1" applyBorder="1" applyAlignment="1">
      <alignment horizontal="center" vertical="center"/>
    </xf>
    <xf numFmtId="42" fontId="3" fillId="14" borderId="3" xfId="0" applyNumberFormat="1" applyFont="1" applyFill="1" applyBorder="1" applyAlignment="1">
      <alignment horizontal="center" vertical="center"/>
    </xf>
    <xf numFmtId="42" fontId="3" fillId="15" borderId="15" xfId="0" applyNumberFormat="1" applyFont="1" applyFill="1" applyBorder="1" applyAlignment="1">
      <alignment horizontal="center" vertical="center"/>
    </xf>
    <xf numFmtId="42" fontId="3" fillId="0" borderId="9" xfId="0" applyNumberFormat="1" applyFont="1" applyBorder="1" applyAlignment="1">
      <alignment horizontal="center" vertical="center"/>
    </xf>
    <xf numFmtId="42" fontId="3" fillId="15" borderId="10" xfId="0" applyNumberFormat="1" applyFont="1" applyFill="1" applyBorder="1" applyAlignment="1">
      <alignment horizontal="center" vertical="center"/>
    </xf>
    <xf numFmtId="42" fontId="2" fillId="14" borderId="3" xfId="0" applyNumberFormat="1" applyFont="1" applyFill="1" applyBorder="1" applyAlignment="1">
      <alignment horizontal="center" vertical="center"/>
    </xf>
    <xf numFmtId="42" fontId="2" fillId="3" borderId="3" xfId="0" applyNumberFormat="1" applyFont="1" applyFill="1" applyBorder="1" applyAlignment="1">
      <alignment horizontal="center" vertical="center"/>
    </xf>
    <xf numFmtId="42" fontId="3" fillId="0" borderId="14" xfId="0" applyNumberFormat="1" applyFont="1" applyBorder="1" applyAlignment="1">
      <alignment horizontal="center" vertical="center"/>
    </xf>
    <xf numFmtId="42" fontId="61" fillId="0" borderId="9" xfId="0" quotePrefix="1" applyNumberFormat="1" applyFont="1" applyBorder="1" applyAlignment="1">
      <alignment horizontal="center" vertical="center"/>
    </xf>
    <xf numFmtId="42" fontId="2" fillId="15" borderId="9" xfId="0" applyNumberFormat="1" applyFont="1" applyFill="1" applyBorder="1" applyAlignment="1">
      <alignment horizontal="center" vertical="center"/>
    </xf>
    <xf numFmtId="42" fontId="3" fillId="15" borderId="14" xfId="0" applyNumberFormat="1" applyFont="1" applyFill="1" applyBorder="1" applyAlignment="1">
      <alignment horizontal="center" vertical="center"/>
    </xf>
    <xf numFmtId="42" fontId="3" fillId="20" borderId="19" xfId="0" applyNumberFormat="1" applyFont="1" applyFill="1" applyBorder="1" applyAlignment="1">
      <alignment horizontal="center" vertical="center"/>
    </xf>
    <xf numFmtId="42" fontId="3" fillId="15" borderId="45" xfId="0" applyNumberFormat="1" applyFont="1" applyFill="1" applyBorder="1" applyAlignment="1">
      <alignment horizontal="center" vertical="center"/>
    </xf>
    <xf numFmtId="42" fontId="11" fillId="15" borderId="46" xfId="0" applyNumberFormat="1" applyFont="1" applyFill="1" applyBorder="1" applyAlignment="1">
      <alignment horizontal="center" vertical="center"/>
    </xf>
    <xf numFmtId="42" fontId="3" fillId="15" borderId="46" xfId="0" applyNumberFormat="1" applyFont="1" applyFill="1" applyBorder="1" applyAlignment="1">
      <alignment horizontal="center" vertical="center"/>
    </xf>
    <xf numFmtId="42" fontId="3" fillId="0" borderId="46" xfId="0" applyNumberFormat="1" applyFont="1" applyBorder="1" applyAlignment="1">
      <alignment horizontal="center" vertical="center"/>
    </xf>
    <xf numFmtId="42" fontId="61" fillId="0" borderId="47" xfId="0" quotePrefix="1" applyNumberFormat="1" applyFont="1" applyBorder="1" applyAlignment="1">
      <alignment horizontal="center" vertical="center"/>
    </xf>
    <xf numFmtId="42" fontId="61" fillId="0" borderId="46" xfId="0" quotePrefix="1" applyNumberFormat="1" applyFont="1" applyBorder="1" applyAlignment="1">
      <alignment horizontal="center" vertical="center"/>
    </xf>
    <xf numFmtId="42" fontId="3" fillId="15" borderId="76" xfId="0" applyNumberFormat="1" applyFont="1" applyFill="1" applyBorder="1" applyAlignment="1">
      <alignment horizontal="center" vertical="center"/>
    </xf>
    <xf numFmtId="42" fontId="3" fillId="15" borderId="71" xfId="0" applyNumberFormat="1" applyFont="1" applyFill="1" applyBorder="1" applyAlignment="1">
      <alignment horizontal="center" vertical="center"/>
    </xf>
    <xf numFmtId="42" fontId="3" fillId="0" borderId="71" xfId="0" applyNumberFormat="1" applyFont="1" applyBorder="1" applyAlignment="1">
      <alignment horizontal="center" vertical="center"/>
    </xf>
    <xf numFmtId="42" fontId="2" fillId="14" borderId="19" xfId="0" applyNumberFormat="1" applyFont="1" applyFill="1" applyBorder="1" applyAlignment="1">
      <alignment horizontal="center" vertical="center"/>
    </xf>
    <xf numFmtId="42" fontId="3" fillId="15" borderId="0" xfId="0" applyNumberFormat="1" applyFont="1" applyFill="1" applyAlignment="1">
      <alignment horizontal="center" vertical="center"/>
    </xf>
    <xf numFmtId="42" fontId="3" fillId="3" borderId="19" xfId="0" applyNumberFormat="1" applyFont="1" applyFill="1" applyBorder="1" applyAlignment="1">
      <alignment horizontal="center" vertical="center"/>
    </xf>
    <xf numFmtId="42" fontId="11" fillId="20" borderId="19" xfId="0" applyNumberFormat="1" applyFont="1" applyFill="1" applyBorder="1" applyAlignment="1">
      <alignment horizontal="center" vertical="center"/>
    </xf>
    <xf numFmtId="42" fontId="33" fillId="17" borderId="76" xfId="0" applyNumberFormat="1" applyFont="1" applyFill="1" applyBorder="1" applyAlignment="1">
      <alignment horizontal="center" vertical="center"/>
    </xf>
    <xf numFmtId="42" fontId="27" fillId="2" borderId="3" xfId="0" applyNumberFormat="1" applyFont="1" applyFill="1" applyBorder="1" applyAlignment="1">
      <alignment horizontal="center" vertical="center"/>
    </xf>
    <xf numFmtId="42" fontId="33" fillId="17" borderId="3" xfId="0" applyNumberFormat="1" applyFont="1" applyFill="1" applyBorder="1" applyAlignment="1">
      <alignment horizontal="center" vertical="center"/>
    </xf>
    <xf numFmtId="0" fontId="27" fillId="2" borderId="40" xfId="0" quotePrefix="1" applyFont="1" applyFill="1" applyBorder="1" applyAlignment="1">
      <alignment horizontal="center" vertical="center"/>
    </xf>
    <xf numFmtId="42" fontId="3" fillId="0" borderId="10" xfId="0" applyNumberFormat="1" applyFont="1" applyBorder="1" applyAlignment="1">
      <alignment horizontal="center" vertical="center"/>
    </xf>
    <xf numFmtId="42" fontId="3" fillId="0" borderId="24" xfId="0" applyNumberFormat="1" applyFont="1" applyBorder="1" applyAlignment="1">
      <alignment horizontal="center" vertical="center"/>
    </xf>
    <xf numFmtId="42" fontId="3" fillId="6" borderId="14" xfId="0" applyNumberFormat="1" applyFont="1" applyFill="1" applyBorder="1" applyAlignment="1">
      <alignment horizontal="center" vertical="center"/>
    </xf>
    <xf numFmtId="42" fontId="61" fillId="0" borderId="8" xfId="0" quotePrefix="1" applyNumberFormat="1" applyFont="1" applyBorder="1" applyAlignment="1">
      <alignment horizontal="center" vertical="center"/>
    </xf>
    <xf numFmtId="42" fontId="3" fillId="12" borderId="26" xfId="0" applyNumberFormat="1" applyFont="1" applyFill="1" applyBorder="1" applyAlignment="1">
      <alignment horizontal="center" vertical="center"/>
    </xf>
    <xf numFmtId="42" fontId="3" fillId="14" borderId="14" xfId="0" applyNumberFormat="1" applyFont="1" applyFill="1" applyBorder="1" applyAlignment="1">
      <alignment horizontal="center" vertical="center"/>
    </xf>
    <xf numFmtId="42" fontId="61" fillId="0" borderId="10" xfId="0" quotePrefix="1" applyNumberFormat="1" applyFont="1" applyBorder="1" applyAlignment="1">
      <alignment horizontal="center" vertical="center"/>
    </xf>
    <xf numFmtId="42" fontId="3" fillId="12" borderId="3" xfId="0" applyNumberFormat="1" applyFont="1" applyFill="1" applyBorder="1" applyAlignment="1">
      <alignment horizontal="center" vertical="center"/>
    </xf>
    <xf numFmtId="42" fontId="3" fillId="12" borderId="10" xfId="0" applyNumberFormat="1" applyFont="1" applyFill="1" applyBorder="1" applyAlignment="1">
      <alignment horizontal="center" vertical="center"/>
    </xf>
    <xf numFmtId="42" fontId="3" fillId="12" borderId="15" xfId="0" applyNumberFormat="1" applyFont="1" applyFill="1" applyBorder="1" applyAlignment="1">
      <alignment horizontal="center" vertical="center"/>
    </xf>
    <xf numFmtId="42" fontId="61" fillId="0" borderId="9" xfId="0" applyNumberFormat="1" applyFont="1" applyBorder="1" applyAlignment="1">
      <alignment horizontal="center" vertical="center"/>
    </xf>
    <xf numFmtId="42" fontId="27" fillId="2" borderId="19" xfId="0" applyNumberFormat="1" applyFont="1" applyFill="1" applyBorder="1" applyAlignment="1">
      <alignment horizontal="center" vertical="center"/>
    </xf>
    <xf numFmtId="42" fontId="11" fillId="14" borderId="19" xfId="0" applyNumberFormat="1" applyFont="1" applyFill="1" applyBorder="1" applyAlignment="1">
      <alignment horizontal="center" vertical="center"/>
    </xf>
    <xf numFmtId="42" fontId="33" fillId="0" borderId="76" xfId="0" applyNumberFormat="1" applyFont="1" applyBorder="1" applyAlignment="1">
      <alignment horizontal="center" vertical="center"/>
    </xf>
    <xf numFmtId="42" fontId="33" fillId="0" borderId="19" xfId="0" applyNumberFormat="1" applyFont="1" applyBorder="1" applyAlignment="1">
      <alignment horizontal="center" vertical="center"/>
    </xf>
    <xf numFmtId="42" fontId="33" fillId="0" borderId="52" xfId="0" applyNumberFormat="1" applyFont="1" applyBorder="1" applyAlignment="1">
      <alignment horizontal="center" vertical="center"/>
    </xf>
    <xf numFmtId="42" fontId="30" fillId="6" borderId="19" xfId="0" applyNumberFormat="1" applyFont="1" applyFill="1" applyBorder="1" applyAlignment="1">
      <alignment horizontal="center" vertical="center"/>
    </xf>
    <xf numFmtId="42" fontId="11" fillId="14" borderId="0" xfId="0" applyNumberFormat="1" applyFont="1" applyFill="1" applyAlignment="1">
      <alignment horizontal="center" vertical="center"/>
    </xf>
    <xf numFmtId="42" fontId="33" fillId="17" borderId="19" xfId="0" applyNumberFormat="1" applyFont="1" applyFill="1" applyBorder="1" applyAlignment="1">
      <alignment horizontal="center" vertical="center"/>
    </xf>
    <xf numFmtId="42" fontId="33" fillId="6" borderId="0" xfId="0" applyNumberFormat="1" applyFont="1" applyFill="1" applyAlignment="1">
      <alignment horizontal="center" vertical="center"/>
    </xf>
    <xf numFmtId="42" fontId="33" fillId="6" borderId="19" xfId="0" applyNumberFormat="1" applyFont="1" applyFill="1" applyBorder="1" applyAlignment="1">
      <alignment horizontal="center" vertical="center"/>
    </xf>
    <xf numFmtId="42" fontId="33" fillId="0" borderId="71" xfId="0" applyNumberFormat="1" applyFont="1" applyBorder="1" applyAlignment="1">
      <alignment horizontal="center" vertical="center"/>
    </xf>
    <xf numFmtId="42" fontId="33" fillId="0" borderId="0" xfId="0" applyNumberFormat="1" applyFont="1" applyAlignment="1">
      <alignment horizontal="center" vertical="center"/>
    </xf>
    <xf numFmtId="44" fontId="0" fillId="15" borderId="31" xfId="0" applyNumberFormat="1" applyFill="1" applyBorder="1" applyAlignment="1">
      <alignment horizontal="center" vertical="center"/>
    </xf>
    <xf numFmtId="44" fontId="0" fillId="15" borderId="32" xfId="0" applyNumberFormat="1" applyFill="1" applyBorder="1" applyAlignment="1">
      <alignment horizontal="center" vertical="center"/>
    </xf>
    <xf numFmtId="44" fontId="3" fillId="3" borderId="50" xfId="0" applyNumberFormat="1" applyFont="1" applyFill="1" applyBorder="1" applyAlignment="1">
      <alignment horizontal="center" vertical="center"/>
    </xf>
    <xf numFmtId="44" fontId="0" fillId="15" borderId="45" xfId="0" applyNumberFormat="1" applyFill="1" applyBorder="1" applyAlignment="1">
      <alignment horizontal="center" vertical="center"/>
    </xf>
    <xf numFmtId="44" fontId="0" fillId="15" borderId="47" xfId="0" applyNumberFormat="1" applyFill="1" applyBorder="1" applyAlignment="1">
      <alignment horizontal="center" vertical="center"/>
    </xf>
    <xf numFmtId="44" fontId="3" fillId="3" borderId="22" xfId="0" applyNumberFormat="1" applyFont="1" applyFill="1" applyBorder="1" applyAlignment="1">
      <alignment horizontal="center" vertical="center"/>
    </xf>
    <xf numFmtId="42" fontId="3" fillId="12" borderId="15" xfId="0" applyNumberFormat="1" applyFont="1" applyFill="1" applyBorder="1" applyAlignment="1">
      <alignment vertical="center"/>
    </xf>
    <xf numFmtId="0" fontId="0" fillId="17" borderId="15" xfId="0" applyFill="1" applyBorder="1" applyAlignment="1">
      <alignment vertical="center"/>
    </xf>
    <xf numFmtId="44" fontId="15" fillId="2" borderId="3" xfId="0" applyNumberFormat="1" applyFont="1" applyFill="1" applyBorder="1" applyAlignment="1">
      <alignment horizontal="center" vertical="center"/>
    </xf>
    <xf numFmtId="0" fontId="3" fillId="2" borderId="36" xfId="0" applyFont="1" applyFill="1" applyBorder="1" applyAlignment="1">
      <alignment vertical="center"/>
    </xf>
    <xf numFmtId="0" fontId="3" fillId="3" borderId="36" xfId="0" applyFont="1" applyFill="1" applyBorder="1" applyAlignment="1">
      <alignment horizontal="right" vertical="center"/>
    </xf>
    <xf numFmtId="0" fontId="0" fillId="0" borderId="0" xfId="0" applyAlignment="1">
      <alignment horizontal="left" vertical="center"/>
    </xf>
    <xf numFmtId="44" fontId="0" fillId="0" borderId="0" xfId="0" applyNumberFormat="1" applyAlignment="1">
      <alignment horizontal="left" vertical="center"/>
    </xf>
    <xf numFmtId="0" fontId="3" fillId="2" borderId="50" xfId="0" applyFont="1" applyFill="1" applyBorder="1" applyAlignment="1">
      <alignment horizontal="left" vertical="center" wrapText="1"/>
    </xf>
    <xf numFmtId="0" fontId="3" fillId="3" borderId="24" xfId="0" applyFont="1" applyFill="1" applyBorder="1" applyAlignment="1">
      <alignment horizontal="right" vertical="center"/>
    </xf>
    <xf numFmtId="173" fontId="3" fillId="12" borderId="56" xfId="0" applyNumberFormat="1" applyFont="1" applyFill="1" applyBorder="1" applyAlignment="1">
      <alignment horizontal="center" vertical="center"/>
    </xf>
    <xf numFmtId="42" fontId="3" fillId="12" borderId="8" xfId="0" applyNumberFormat="1" applyFont="1" applyFill="1" applyBorder="1" applyAlignment="1">
      <alignment vertical="center"/>
    </xf>
    <xf numFmtId="42" fontId="3" fillId="12" borderId="26" xfId="0" applyNumberFormat="1" applyFont="1" applyFill="1" applyBorder="1" applyAlignment="1">
      <alignment vertical="center"/>
    </xf>
    <xf numFmtId="0" fontId="0" fillId="0" borderId="15" xfId="0" applyBorder="1"/>
    <xf numFmtId="0" fontId="0" fillId="15" borderId="54" xfId="0" applyFill="1" applyBorder="1" applyAlignment="1">
      <alignment vertical="center" wrapText="1"/>
    </xf>
    <xf numFmtId="0" fontId="0" fillId="15" borderId="57" xfId="0" applyFill="1" applyBorder="1" applyAlignment="1">
      <alignment vertical="center" wrapText="1"/>
    </xf>
    <xf numFmtId="0" fontId="0" fillId="0" borderId="10" xfId="0" applyBorder="1"/>
    <xf numFmtId="0" fontId="3" fillId="3" borderId="23" xfId="0" applyFont="1" applyFill="1" applyBorder="1" applyAlignment="1">
      <alignment horizontal="center"/>
    </xf>
    <xf numFmtId="0" fontId="0" fillId="15" borderId="9" xfId="0" applyFill="1" applyBorder="1" applyAlignment="1">
      <alignment horizontal="center" vertical="center"/>
    </xf>
    <xf numFmtId="0" fontId="0" fillId="15" borderId="26" xfId="0" applyFill="1" applyBorder="1" applyAlignment="1">
      <alignment horizontal="center" vertical="center"/>
    </xf>
    <xf numFmtId="1" fontId="0" fillId="15" borderId="15" xfId="0" applyNumberFormat="1" applyFill="1" applyBorder="1" applyAlignment="1">
      <alignment horizontal="center" vertical="center"/>
    </xf>
    <xf numFmtId="44" fontId="3" fillId="2" borderId="49" xfId="0" applyNumberFormat="1" applyFont="1" applyFill="1" applyBorder="1" applyAlignment="1">
      <alignment horizontal="center" vertical="center"/>
    </xf>
    <xf numFmtId="1" fontId="3" fillId="3" borderId="9" xfId="0" applyNumberFormat="1" applyFont="1" applyFill="1" applyBorder="1" applyAlignment="1">
      <alignment horizontal="center" vertical="center"/>
    </xf>
    <xf numFmtId="0" fontId="0" fillId="0" borderId="44" xfId="0" applyBorder="1" applyAlignment="1">
      <alignment horizontal="center" wrapText="1"/>
    </xf>
    <xf numFmtId="166" fontId="0" fillId="15" borderId="48" xfId="0" applyNumberFormat="1" applyFill="1" applyBorder="1" applyAlignment="1">
      <alignment horizontal="center" vertical="center"/>
    </xf>
    <xf numFmtId="44" fontId="0" fillId="15" borderId="48" xfId="0" quotePrefix="1" applyNumberFormat="1" applyFill="1" applyBorder="1" applyAlignment="1">
      <alignment vertical="center"/>
    </xf>
    <xf numFmtId="178" fontId="3" fillId="7" borderId="5" xfId="0" applyNumberFormat="1" applyFont="1" applyFill="1" applyBorder="1" applyAlignment="1">
      <alignment horizontal="center" vertical="center"/>
    </xf>
    <xf numFmtId="0" fontId="3" fillId="2" borderId="23" xfId="0" applyFont="1" applyFill="1" applyBorder="1" applyAlignment="1">
      <alignment horizontal="left" vertical="center" wrapText="1"/>
    </xf>
    <xf numFmtId="0" fontId="0" fillId="15" borderId="56" xfId="0" applyFill="1" applyBorder="1" applyAlignment="1">
      <alignment vertical="center" wrapText="1"/>
    </xf>
    <xf numFmtId="0" fontId="0" fillId="15" borderId="12" xfId="0" applyFill="1" applyBorder="1" applyAlignment="1">
      <alignment horizontal="center" vertical="center"/>
    </xf>
    <xf numFmtId="0" fontId="0" fillId="12" borderId="56" xfId="0" applyFill="1" applyBorder="1" applyAlignment="1">
      <alignment horizontal="center" vertical="center"/>
    </xf>
    <xf numFmtId="0" fontId="0" fillId="12" borderId="54" xfId="0" applyFill="1" applyBorder="1" applyAlignment="1">
      <alignment horizontal="center" vertical="center"/>
    </xf>
    <xf numFmtId="0" fontId="0" fillId="12" borderId="57" xfId="0" applyFill="1" applyBorder="1" applyAlignment="1">
      <alignment horizontal="center" vertical="center"/>
    </xf>
    <xf numFmtId="44" fontId="0" fillId="12" borderId="8" xfId="0" applyNumberFormat="1" applyFill="1" applyBorder="1" applyAlignment="1">
      <alignment vertical="center"/>
    </xf>
    <xf numFmtId="44" fontId="0" fillId="12" borderId="9" xfId="0" applyNumberFormat="1" applyFill="1" applyBorder="1" applyAlignment="1">
      <alignment vertical="center"/>
    </xf>
    <xf numFmtId="44" fontId="0" fillId="12" borderId="26" xfId="0" applyNumberFormat="1" applyFill="1" applyBorder="1" applyAlignment="1">
      <alignment vertical="center"/>
    </xf>
    <xf numFmtId="0" fontId="11" fillId="12" borderId="8" xfId="0" applyFont="1" applyFill="1" applyBorder="1" applyAlignment="1">
      <alignment horizontal="center" vertical="center"/>
    </xf>
    <xf numFmtId="0" fontId="11" fillId="12" borderId="26" xfId="0" applyFont="1" applyFill="1" applyBorder="1" applyAlignment="1">
      <alignment horizontal="center" vertical="center"/>
    </xf>
    <xf numFmtId="0" fontId="3" fillId="3" borderId="60" xfId="0" applyFont="1" applyFill="1" applyBorder="1" applyAlignment="1">
      <alignment horizontal="right" vertical="center"/>
    </xf>
    <xf numFmtId="172" fontId="0" fillId="15" borderId="8" xfId="0" applyNumberFormat="1" applyFill="1" applyBorder="1" applyAlignment="1">
      <alignment horizontal="center" vertical="center"/>
    </xf>
    <xf numFmtId="172" fontId="0" fillId="15" borderId="9" xfId="0" applyNumberFormat="1" applyFill="1" applyBorder="1" applyAlignment="1">
      <alignment horizontal="center" vertical="center"/>
    </xf>
    <xf numFmtId="172" fontId="0" fillId="15" borderId="26" xfId="0" applyNumberFormat="1" applyFill="1" applyBorder="1" applyAlignment="1">
      <alignment horizontal="center" vertical="center"/>
    </xf>
    <xf numFmtId="0" fontId="0" fillId="10" borderId="6" xfId="0" applyFill="1" applyBorder="1" applyAlignment="1">
      <alignment horizontal="center"/>
    </xf>
    <xf numFmtId="0" fontId="0" fillId="10" borderId="65" xfId="0" applyFill="1" applyBorder="1" applyAlignment="1">
      <alignment horizontal="center"/>
    </xf>
    <xf numFmtId="42" fontId="3" fillId="3" borderId="10" xfId="0" applyNumberFormat="1" applyFont="1" applyFill="1" applyBorder="1" applyAlignment="1">
      <alignment horizontal="center"/>
    </xf>
    <xf numFmtId="0" fontId="3" fillId="3" borderId="40" xfId="0" applyFont="1" applyFill="1" applyBorder="1" applyAlignment="1">
      <alignment horizontal="center"/>
    </xf>
    <xf numFmtId="42" fontId="3" fillId="3" borderId="5" xfId="0" applyNumberFormat="1" applyFont="1" applyFill="1" applyBorder="1" applyAlignment="1">
      <alignment horizontal="center"/>
    </xf>
    <xf numFmtId="0" fontId="0" fillId="10" borderId="43" xfId="0" applyFill="1" applyBorder="1"/>
    <xf numFmtId="167" fontId="0" fillId="10" borderId="17" xfId="0" applyNumberFormat="1" applyFill="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3" fillId="2" borderId="36" xfId="0" applyFont="1" applyFill="1" applyBorder="1"/>
    <xf numFmtId="44" fontId="3" fillId="3" borderId="15" xfId="0" applyNumberFormat="1" applyFont="1" applyFill="1" applyBorder="1" applyAlignment="1">
      <alignment horizontal="center" vertical="center"/>
    </xf>
    <xf numFmtId="44" fontId="3" fillId="3" borderId="9" xfId="0" applyNumberFormat="1" applyFont="1" applyFill="1" applyBorder="1" applyAlignment="1">
      <alignment horizontal="center" vertical="center"/>
    </xf>
    <xf numFmtId="44" fontId="15" fillId="2" borderId="50"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0" fillId="0" borderId="9" xfId="0" applyBorder="1" applyAlignment="1">
      <alignment vertical="center" wrapText="1"/>
    </xf>
    <xf numFmtId="0" fontId="3" fillId="12" borderId="10" xfId="0" applyFont="1" applyFill="1" applyBorder="1" applyAlignment="1">
      <alignment horizontal="center" vertical="center"/>
    </xf>
    <xf numFmtId="44" fontId="3" fillId="15" borderId="10" xfId="0" applyNumberFormat="1" applyFont="1" applyFill="1" applyBorder="1" applyAlignment="1">
      <alignment vertical="center"/>
    </xf>
    <xf numFmtId="11" fontId="16" fillId="0" borderId="0" xfId="0" applyNumberFormat="1" applyFont="1" applyAlignment="1">
      <alignment horizontal="right" vertical="center"/>
    </xf>
    <xf numFmtId="42" fontId="11" fillId="15" borderId="8" xfId="0" applyNumberFormat="1" applyFont="1" applyFill="1" applyBorder="1" applyAlignment="1">
      <alignment horizontal="center" vertical="center"/>
    </xf>
    <xf numFmtId="0" fontId="0" fillId="0" borderId="20" xfId="0" quotePrefix="1" applyBorder="1" applyAlignment="1">
      <alignment vertical="center" wrapText="1"/>
    </xf>
    <xf numFmtId="42" fontId="3" fillId="15" borderId="47" xfId="0" applyNumberFormat="1" applyFont="1" applyFill="1" applyBorder="1" applyAlignment="1">
      <alignment horizontal="center" vertical="center"/>
    </xf>
    <xf numFmtId="0" fontId="19" fillId="0" borderId="24" xfId="0" applyFont="1" applyBorder="1" applyAlignment="1">
      <alignment horizontal="right" vertical="center" wrapText="1"/>
    </xf>
    <xf numFmtId="0" fontId="3" fillId="0" borderId="0" xfId="0" applyFont="1" applyAlignment="1">
      <alignment vertical="center"/>
    </xf>
    <xf numFmtId="0" fontId="0" fillId="17" borderId="8" xfId="0" applyFill="1" applyBorder="1" applyAlignment="1">
      <alignment vertical="center"/>
    </xf>
    <xf numFmtId="0" fontId="9" fillId="15" borderId="69" xfId="0" applyFont="1" applyFill="1" applyBorder="1" applyAlignment="1">
      <alignment horizontal="left" vertical="center" wrapText="1"/>
    </xf>
    <xf numFmtId="0" fontId="9" fillId="15" borderId="58" xfId="0" applyFont="1" applyFill="1" applyBorder="1" applyAlignment="1">
      <alignment horizontal="left" vertical="center" wrapText="1"/>
    </xf>
    <xf numFmtId="0" fontId="9" fillId="15" borderId="32" xfId="0" applyFont="1" applyFill="1" applyBorder="1" applyAlignment="1">
      <alignment horizontal="left" vertical="center" wrapText="1"/>
    </xf>
    <xf numFmtId="0" fontId="14" fillId="15" borderId="58" xfId="0" applyFont="1" applyFill="1" applyBorder="1" applyAlignment="1">
      <alignment horizontal="left" vertical="center" wrapText="1"/>
    </xf>
    <xf numFmtId="0" fontId="14" fillId="15" borderId="31" xfId="0" applyFont="1" applyFill="1" applyBorder="1" applyAlignment="1">
      <alignment horizontal="left" vertical="center" wrapText="1"/>
    </xf>
    <xf numFmtId="0" fontId="14" fillId="15" borderId="32" xfId="0" applyFont="1" applyFill="1" applyBorder="1" applyAlignment="1">
      <alignment horizontal="left" vertical="center" wrapText="1"/>
    </xf>
    <xf numFmtId="44" fontId="9" fillId="15" borderId="31" xfId="0" applyNumberFormat="1" applyFont="1" applyFill="1" applyBorder="1" applyAlignment="1">
      <alignment horizontal="left" vertical="center" wrapText="1"/>
    </xf>
    <xf numFmtId="44" fontId="9" fillId="15" borderId="58" xfId="0" applyNumberFormat="1" applyFont="1" applyFill="1" applyBorder="1" applyAlignment="1">
      <alignment horizontal="left" vertical="center" wrapText="1"/>
    </xf>
    <xf numFmtId="44" fontId="9" fillId="15" borderId="32" xfId="0" applyNumberFormat="1" applyFont="1" applyFill="1" applyBorder="1" applyAlignment="1">
      <alignment horizontal="left" vertical="center" wrapText="1"/>
    </xf>
    <xf numFmtId="0" fontId="9" fillId="0" borderId="11" xfId="0" applyFont="1" applyBorder="1" applyAlignment="1">
      <alignment vertical="center" wrapText="1"/>
    </xf>
    <xf numFmtId="0" fontId="8" fillId="0" borderId="10" xfId="0" applyFont="1" applyBorder="1" applyAlignment="1">
      <alignment vertical="center" wrapText="1"/>
    </xf>
    <xf numFmtId="44" fontId="0" fillId="0" borderId="47" xfId="0" applyNumberFormat="1" applyBorder="1" applyAlignment="1">
      <alignment vertical="center"/>
    </xf>
    <xf numFmtId="0" fontId="49" fillId="0" borderId="35" xfId="0" applyFont="1" applyBorder="1" applyAlignment="1">
      <alignment horizontal="left" vertical="center"/>
    </xf>
    <xf numFmtId="0" fontId="3" fillId="21" borderId="60" xfId="0" applyFont="1" applyFill="1" applyBorder="1" applyAlignment="1">
      <alignment horizontal="right" vertical="center"/>
    </xf>
    <xf numFmtId="167" fontId="3" fillId="15" borderId="62" xfId="0" applyNumberFormat="1" applyFont="1" applyFill="1" applyBorder="1" applyAlignment="1">
      <alignment horizontal="center" vertical="center"/>
    </xf>
    <xf numFmtId="42" fontId="0" fillId="15" borderId="73" xfId="0" applyNumberFormat="1" applyFill="1" applyBorder="1" applyAlignment="1">
      <alignment horizontal="center" vertical="center"/>
    </xf>
    <xf numFmtId="42" fontId="0" fillId="15" borderId="7" xfId="0" applyNumberFormat="1" applyFill="1" applyBorder="1" applyAlignment="1">
      <alignment horizontal="center" vertical="center"/>
    </xf>
    <xf numFmtId="42" fontId="0" fillId="15" borderId="68" xfId="0" applyNumberFormat="1" applyFill="1" applyBorder="1" applyAlignment="1">
      <alignment horizontal="center" vertical="center"/>
    </xf>
    <xf numFmtId="0" fontId="11" fillId="2" borderId="22" xfId="0" applyFont="1" applyFill="1" applyBorder="1" applyAlignment="1">
      <alignment horizontal="left" vertical="center"/>
    </xf>
    <xf numFmtId="0" fontId="11" fillId="2" borderId="77" xfId="0" applyFont="1" applyFill="1" applyBorder="1" applyAlignment="1">
      <alignment horizontal="left" vertical="center"/>
    </xf>
    <xf numFmtId="167" fontId="11" fillId="12" borderId="69" xfId="0" applyNumberFormat="1" applyFont="1" applyFill="1" applyBorder="1" applyAlignment="1">
      <alignment horizontal="center" vertical="center"/>
    </xf>
    <xf numFmtId="44" fontId="9" fillId="0" borderId="38" xfId="0" applyNumberFormat="1" applyFont="1" applyBorder="1" applyAlignment="1">
      <alignment vertical="center"/>
    </xf>
    <xf numFmtId="0" fontId="13" fillId="0" borderId="0" xfId="2"/>
    <xf numFmtId="44" fontId="9" fillId="0" borderId="52" xfId="0" applyNumberFormat="1" applyFont="1" applyBorder="1" applyAlignment="1">
      <alignment vertical="center"/>
    </xf>
    <xf numFmtId="44" fontId="11" fillId="2" borderId="22" xfId="0" applyNumberFormat="1" applyFont="1" applyFill="1" applyBorder="1" applyAlignment="1">
      <alignment horizontal="center" vertical="center"/>
    </xf>
    <xf numFmtId="44" fontId="9" fillId="0" borderId="45" xfId="0" applyNumberFormat="1" applyFont="1" applyBorder="1" applyAlignment="1">
      <alignment vertical="center"/>
    </xf>
    <xf numFmtId="44" fontId="9" fillId="0" borderId="17" xfId="0" applyNumberFormat="1" applyFont="1" applyBorder="1" applyAlignment="1">
      <alignment horizontal="center" vertical="center"/>
    </xf>
    <xf numFmtId="44" fontId="9" fillId="0" borderId="13" xfId="0" applyNumberFormat="1" applyFont="1" applyBorder="1" applyAlignment="1">
      <alignment horizontal="center" vertical="center"/>
    </xf>
    <xf numFmtId="44" fontId="9" fillId="0" borderId="1" xfId="0" applyNumberFormat="1" applyFont="1" applyBorder="1" applyAlignment="1">
      <alignment horizontal="center" vertical="center"/>
    </xf>
    <xf numFmtId="44" fontId="9" fillId="0" borderId="21" xfId="0" applyNumberFormat="1" applyFont="1" applyBorder="1" applyAlignment="1">
      <alignment horizontal="center" vertical="center"/>
    </xf>
    <xf numFmtId="44" fontId="9" fillId="0" borderId="20" xfId="0" applyNumberFormat="1" applyFont="1" applyBorder="1" applyAlignment="1">
      <alignment horizontal="center" vertical="center"/>
    </xf>
    <xf numFmtId="44" fontId="11" fillId="2" borderId="5" xfId="0" applyNumberFormat="1" applyFont="1" applyFill="1" applyBorder="1" applyAlignment="1">
      <alignment horizontal="center" vertical="center"/>
    </xf>
    <xf numFmtId="0" fontId="11" fillId="2" borderId="5" xfId="0" applyFont="1" applyFill="1" applyBorder="1" applyAlignment="1">
      <alignment vertical="center"/>
    </xf>
    <xf numFmtId="44" fontId="9" fillId="0" borderId="13" xfId="0" applyNumberFormat="1" applyFont="1" applyBorder="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44" fontId="9" fillId="0" borderId="11" xfId="0" applyNumberFormat="1" applyFont="1" applyBorder="1" applyAlignment="1">
      <alignment horizontal="center" vertical="center"/>
    </xf>
    <xf numFmtId="44" fontId="9" fillId="0" borderId="12" xfId="0" applyNumberFormat="1" applyFont="1" applyBorder="1" applyAlignment="1">
      <alignment horizontal="center" vertical="center"/>
    </xf>
    <xf numFmtId="44" fontId="11" fillId="3" borderId="4" xfId="0" applyNumberFormat="1" applyFont="1" applyFill="1" applyBorder="1" applyAlignment="1">
      <alignment horizontal="center" vertical="center"/>
    </xf>
    <xf numFmtId="44" fontId="11" fillId="3" borderId="5" xfId="0" applyNumberFormat="1" applyFont="1" applyFill="1" applyBorder="1" applyAlignment="1">
      <alignment horizontal="center" vertical="center"/>
    </xf>
    <xf numFmtId="44" fontId="9" fillId="0" borderId="5" xfId="0" applyNumberFormat="1" applyFont="1" applyBorder="1" applyAlignment="1">
      <alignment horizontal="center" vertical="center"/>
    </xf>
    <xf numFmtId="44" fontId="9" fillId="0" borderId="65" xfId="0" applyNumberFormat="1" applyFont="1" applyBorder="1" applyAlignment="1">
      <alignment horizontal="center" vertical="center"/>
    </xf>
    <xf numFmtId="44" fontId="11" fillId="3" borderId="62" xfId="0" applyNumberFormat="1" applyFont="1" applyFill="1" applyBorder="1" applyAlignment="1">
      <alignment horizontal="center" vertical="center"/>
    </xf>
    <xf numFmtId="10" fontId="9" fillId="0" borderId="11" xfId="0" applyNumberFormat="1" applyFont="1" applyBorder="1" applyAlignment="1">
      <alignment horizontal="center" vertical="center"/>
    </xf>
    <xf numFmtId="42" fontId="9" fillId="0" borderId="11" xfId="0" applyNumberFormat="1" applyFont="1" applyBorder="1" applyAlignment="1">
      <alignment vertical="center" wrapText="1"/>
    </xf>
    <xf numFmtId="42" fontId="0" fillId="0" borderId="33" xfId="0" applyNumberFormat="1" applyBorder="1" applyAlignment="1">
      <alignment horizontal="center" vertical="center"/>
    </xf>
    <xf numFmtId="42" fontId="0" fillId="0" borderId="12" xfId="0" applyNumberFormat="1" applyBorder="1" applyAlignment="1">
      <alignment horizontal="center" vertical="center"/>
    </xf>
    <xf numFmtId="42" fontId="0" fillId="15" borderId="35" xfId="0" applyNumberFormat="1" applyFill="1" applyBorder="1" applyAlignment="1">
      <alignment horizontal="center" vertical="center"/>
    </xf>
    <xf numFmtId="42" fontId="0" fillId="15" borderId="21" xfId="0" applyNumberFormat="1" applyFill="1" applyBorder="1" applyAlignment="1">
      <alignment horizontal="center" vertical="center"/>
    </xf>
    <xf numFmtId="0" fontId="11" fillId="2" borderId="60"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2" xfId="0" applyFont="1" applyFill="1" applyBorder="1" applyAlignment="1">
      <alignment horizontal="center" vertical="center"/>
    </xf>
    <xf numFmtId="42" fontId="9" fillId="0" borderId="33" xfId="0" applyNumberFormat="1" applyFont="1" applyBorder="1" applyAlignment="1">
      <alignment horizontal="center" vertical="center"/>
    </xf>
    <xf numFmtId="168" fontId="9" fillId="0" borderId="38" xfId="0" applyNumberFormat="1" applyFont="1" applyBorder="1" applyAlignment="1">
      <alignment horizontal="center" vertical="center" wrapText="1"/>
    </xf>
    <xf numFmtId="42" fontId="9" fillId="15" borderId="34" xfId="0" applyNumberFormat="1" applyFont="1" applyFill="1" applyBorder="1" applyAlignment="1">
      <alignment horizontal="center" vertical="center"/>
    </xf>
    <xf numFmtId="42" fontId="9" fillId="0" borderId="1" xfId="0" applyNumberFormat="1" applyFont="1" applyBorder="1" applyAlignment="1">
      <alignment horizontal="center" vertical="center" wrapText="1"/>
    </xf>
    <xf numFmtId="42" fontId="9" fillId="15" borderId="35" xfId="0" applyNumberFormat="1" applyFont="1" applyFill="1" applyBorder="1" applyAlignment="1">
      <alignment horizontal="center" vertical="center"/>
    </xf>
    <xf numFmtId="0" fontId="11" fillId="0" borderId="0" xfId="0" applyFont="1" applyAlignment="1">
      <alignment horizontal="right" vertical="center"/>
    </xf>
    <xf numFmtId="0" fontId="25" fillId="0" borderId="0" xfId="2" applyFont="1" applyAlignment="1">
      <alignment horizontal="left" vertical="center"/>
    </xf>
    <xf numFmtId="44" fontId="9" fillId="0" borderId="3" xfId="0" applyNumberFormat="1" applyFont="1" applyBorder="1" applyAlignment="1">
      <alignment horizontal="center" vertical="center"/>
    </xf>
    <xf numFmtId="44" fontId="9" fillId="0" borderId="73" xfId="0" applyNumberFormat="1" applyFont="1" applyBorder="1" applyAlignment="1">
      <alignment vertical="center"/>
    </xf>
    <xf numFmtId="44" fontId="9" fillId="15" borderId="43" xfId="0" applyNumberFormat="1" applyFont="1" applyFill="1" applyBorder="1" applyAlignment="1">
      <alignment horizontal="center" vertical="center"/>
    </xf>
    <xf numFmtId="44" fontId="9" fillId="15" borderId="64" xfId="0" applyNumberFormat="1" applyFont="1" applyFill="1" applyBorder="1" applyAlignment="1">
      <alignment horizontal="center" vertical="center"/>
    </xf>
    <xf numFmtId="44" fontId="9" fillId="0" borderId="43" xfId="0" applyNumberFormat="1" applyFont="1" applyBorder="1" applyAlignment="1">
      <alignment horizontal="center" vertical="center"/>
    </xf>
    <xf numFmtId="44" fontId="9" fillId="15" borderId="18" xfId="0" applyNumberFormat="1" applyFont="1" applyFill="1" applyBorder="1" applyAlignment="1">
      <alignment horizontal="center" vertical="center"/>
    </xf>
    <xf numFmtId="44" fontId="9" fillId="15" borderId="34" xfId="0" applyNumberFormat="1" applyFont="1" applyFill="1" applyBorder="1" applyAlignment="1">
      <alignment horizontal="center" vertical="center"/>
    </xf>
    <xf numFmtId="44" fontId="9" fillId="15" borderId="13" xfId="0" applyNumberFormat="1" applyFont="1" applyFill="1" applyBorder="1" applyAlignment="1">
      <alignment horizontal="center" vertical="center"/>
    </xf>
    <xf numFmtId="44" fontId="9" fillId="15" borderId="35" xfId="0" applyNumberFormat="1" applyFont="1" applyFill="1" applyBorder="1" applyAlignment="1">
      <alignment horizontal="center" vertical="center"/>
    </xf>
    <xf numFmtId="44" fontId="11" fillId="3" borderId="35" xfId="0" applyNumberFormat="1" applyFont="1" applyFill="1" applyBorder="1" applyAlignment="1">
      <alignment horizontal="center" vertical="center"/>
    </xf>
    <xf numFmtId="44" fontId="11" fillId="3" borderId="21"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165" fontId="9" fillId="0" borderId="0" xfId="0" applyNumberFormat="1" applyFont="1" applyAlignment="1">
      <alignment horizontal="center" vertical="center"/>
    </xf>
    <xf numFmtId="165" fontId="9" fillId="15" borderId="34" xfId="0" applyNumberFormat="1" applyFont="1" applyFill="1" applyBorder="1" applyAlignment="1">
      <alignment horizontal="center" vertical="center"/>
    </xf>
    <xf numFmtId="165" fontId="9" fillId="15" borderId="35" xfId="0" applyNumberFormat="1" applyFont="1" applyFill="1" applyBorder="1" applyAlignment="1">
      <alignment horizontal="center" vertical="center"/>
    </xf>
    <xf numFmtId="165" fontId="9" fillId="0" borderId="21" xfId="0" applyNumberFormat="1" applyFont="1" applyBorder="1" applyAlignment="1">
      <alignment horizontal="center" vertical="center"/>
    </xf>
    <xf numFmtId="44" fontId="9" fillId="0" borderId="25" xfId="0" applyNumberFormat="1" applyFont="1" applyBorder="1" applyAlignment="1">
      <alignment horizontal="center" vertical="center"/>
    </xf>
    <xf numFmtId="44" fontId="9" fillId="0" borderId="63" xfId="0" applyNumberFormat="1" applyFont="1" applyBorder="1" applyAlignment="1">
      <alignment horizontal="center" vertical="center"/>
    </xf>
    <xf numFmtId="0" fontId="38" fillId="0" borderId="0" xfId="0" applyFont="1" applyAlignment="1">
      <alignment horizontal="left" vertical="center"/>
    </xf>
    <xf numFmtId="9" fontId="9" fillId="0" borderId="0" xfId="0" applyNumberFormat="1" applyFont="1" applyAlignment="1">
      <alignment horizontal="left" vertical="center" wrapText="1" indent="1"/>
    </xf>
    <xf numFmtId="0" fontId="9" fillId="0" borderId="0" xfId="0" applyFont="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42" fontId="3" fillId="12" borderId="56" xfId="0" applyNumberFormat="1" applyFont="1" applyFill="1" applyBorder="1" applyAlignment="1">
      <alignment vertical="center"/>
    </xf>
    <xf numFmtId="42" fontId="3" fillId="12" borderId="54" xfId="0" applyNumberFormat="1" applyFont="1" applyFill="1" applyBorder="1" applyAlignment="1">
      <alignment vertical="center"/>
    </xf>
    <xf numFmtId="42" fontId="3" fillId="12" borderId="57" xfId="0" applyNumberFormat="1" applyFont="1" applyFill="1" applyBorder="1" applyAlignment="1">
      <alignment vertical="center"/>
    </xf>
    <xf numFmtId="9" fontId="3" fillId="12" borderId="8" xfId="0" applyNumberFormat="1" applyFont="1" applyFill="1" applyBorder="1" applyAlignment="1">
      <alignment horizontal="center" vertical="center"/>
    </xf>
    <xf numFmtId="9" fontId="3" fillId="12" borderId="9" xfId="0" applyNumberFormat="1" applyFont="1" applyFill="1" applyBorder="1" applyAlignment="1">
      <alignment horizontal="center" vertical="center"/>
    </xf>
    <xf numFmtId="9" fontId="3" fillId="12" borderId="26" xfId="0" applyNumberFormat="1" applyFont="1" applyFill="1" applyBorder="1" applyAlignment="1">
      <alignment horizontal="center" vertical="center"/>
    </xf>
    <xf numFmtId="42" fontId="11" fillId="15" borderId="26" xfId="0" applyNumberFormat="1" applyFont="1" applyFill="1" applyBorder="1" applyAlignment="1">
      <alignment horizontal="center" vertical="center"/>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2" fillId="22" borderId="0" xfId="0" applyFont="1" applyFill="1" applyAlignment="1">
      <alignment vertical="center" wrapText="1"/>
    </xf>
    <xf numFmtId="0" fontId="3" fillId="3" borderId="5" xfId="0" applyFont="1" applyFill="1" applyBorder="1" applyAlignment="1">
      <alignment horizontal="right" vertical="center" wrapText="1"/>
    </xf>
    <xf numFmtId="0" fontId="61" fillId="0" borderId="42" xfId="0" quotePrefix="1" applyFont="1" applyBorder="1" applyAlignment="1">
      <alignment horizontal="center" vertical="center"/>
    </xf>
    <xf numFmtId="42" fontId="61" fillId="22" borderId="10" xfId="0" applyNumberFormat="1" applyFont="1" applyFill="1" applyBorder="1" applyAlignment="1">
      <alignment horizontal="center" vertical="center"/>
    </xf>
    <xf numFmtId="0" fontId="0" fillId="22" borderId="73" xfId="0" applyFill="1" applyBorder="1" applyAlignment="1">
      <alignment vertical="center" wrapText="1"/>
    </xf>
    <xf numFmtId="0" fontId="0" fillId="22" borderId="68" xfId="0" applyFill="1" applyBorder="1" applyAlignment="1">
      <alignment vertical="center" wrapText="1"/>
    </xf>
    <xf numFmtId="0" fontId="0" fillId="22" borderId="73" xfId="0" quotePrefix="1" applyFill="1" applyBorder="1" applyAlignment="1">
      <alignment vertical="top" wrapText="1"/>
    </xf>
    <xf numFmtId="0" fontId="0" fillId="22" borderId="68" xfId="0" quotePrefix="1" applyFill="1" applyBorder="1" applyAlignment="1">
      <alignment vertical="top" wrapText="1"/>
    </xf>
    <xf numFmtId="0" fontId="0" fillId="22" borderId="11" xfId="0" applyFill="1" applyBorder="1" applyAlignment="1">
      <alignment vertical="center" wrapText="1"/>
    </xf>
    <xf numFmtId="0" fontId="0" fillId="22" borderId="1" xfId="0" applyFill="1" applyBorder="1" applyAlignment="1">
      <alignment vertical="center" wrapText="1"/>
    </xf>
    <xf numFmtId="0" fontId="0" fillId="22" borderId="20" xfId="0" applyFill="1" applyBorder="1" applyAlignment="1">
      <alignment vertical="center" wrapText="1"/>
    </xf>
    <xf numFmtId="0" fontId="0" fillId="22" borderId="52" xfId="0" applyFill="1" applyBorder="1" applyAlignment="1">
      <alignment vertical="top" wrapText="1"/>
    </xf>
    <xf numFmtId="0" fontId="0" fillId="22" borderId="71" xfId="0" applyFill="1" applyBorder="1" applyAlignment="1">
      <alignment vertical="center" wrapText="1"/>
    </xf>
    <xf numFmtId="0" fontId="0" fillId="22" borderId="46" xfId="0" applyFill="1" applyBorder="1" applyAlignment="1">
      <alignment vertical="center" wrapText="1"/>
    </xf>
    <xf numFmtId="0" fontId="0" fillId="22" borderId="76" xfId="0" applyFill="1" applyBorder="1" applyAlignment="1">
      <alignment vertical="center" wrapText="1"/>
    </xf>
    <xf numFmtId="0" fontId="0" fillId="22" borderId="33" xfId="0" applyFill="1" applyBorder="1" applyAlignment="1">
      <alignment horizontal="left" vertical="center"/>
    </xf>
    <xf numFmtId="0" fontId="0" fillId="22" borderId="34" xfId="0" applyFill="1" applyBorder="1" applyAlignment="1">
      <alignment horizontal="left" vertical="center"/>
    </xf>
    <xf numFmtId="0" fontId="0" fillId="22" borderId="35" xfId="0" applyFill="1" applyBorder="1" applyAlignment="1">
      <alignment horizontal="left" vertical="center"/>
    </xf>
    <xf numFmtId="0" fontId="0" fillId="22" borderId="36" xfId="0" applyFill="1" applyBorder="1" applyAlignment="1">
      <alignment horizontal="left" vertical="center"/>
    </xf>
    <xf numFmtId="0" fontId="0" fillId="22" borderId="43" xfId="0" applyFill="1" applyBorder="1" applyAlignment="1">
      <alignment horizontal="left" vertical="center"/>
    </xf>
    <xf numFmtId="0" fontId="0" fillId="22" borderId="64" xfId="0" applyFill="1" applyBorder="1" applyAlignment="1">
      <alignment horizontal="left" vertical="center"/>
    </xf>
    <xf numFmtId="0" fontId="0" fillId="0" borderId="46" xfId="0" applyBorder="1" applyAlignment="1">
      <alignment vertical="center"/>
    </xf>
    <xf numFmtId="44" fontId="15" fillId="2" borderId="23"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44" fontId="0" fillId="15" borderId="53" xfId="0" applyNumberFormat="1" applyFill="1" applyBorder="1" applyAlignment="1">
      <alignment horizontal="center" vertical="center"/>
    </xf>
    <xf numFmtId="44" fontId="0" fillId="15" borderId="54" xfId="0" applyNumberFormat="1" applyFill="1" applyBorder="1" applyAlignment="1">
      <alignment horizontal="center" vertical="center"/>
    </xf>
    <xf numFmtId="44" fontId="0" fillId="15" borderId="55" xfId="0" applyNumberFormat="1" applyFill="1" applyBorder="1" applyAlignment="1">
      <alignment horizontal="center" vertical="center"/>
    </xf>
    <xf numFmtId="44" fontId="0" fillId="17" borderId="54" xfId="0" applyNumberFormat="1" applyFill="1" applyBorder="1" applyAlignment="1">
      <alignment horizontal="center" vertical="center"/>
    </xf>
    <xf numFmtId="179" fontId="9" fillId="4" borderId="11" xfId="0" applyNumberFormat="1" applyFont="1" applyFill="1" applyBorder="1" applyAlignment="1">
      <alignment vertical="center"/>
    </xf>
    <xf numFmtId="179" fontId="9" fillId="0" borderId="1" xfId="0" applyNumberFormat="1" applyFont="1" applyBorder="1" applyAlignment="1">
      <alignment horizontal="center" vertical="center"/>
    </xf>
    <xf numFmtId="179" fontId="9" fillId="0" borderId="6" xfId="0" applyNumberFormat="1" applyFont="1" applyBorder="1" applyAlignment="1">
      <alignment horizontal="center" vertical="center"/>
    </xf>
    <xf numFmtId="179" fontId="9" fillId="4" borderId="1" xfId="0" applyNumberFormat="1" applyFont="1" applyFill="1" applyBorder="1" applyAlignment="1">
      <alignment horizontal="center" vertical="center"/>
    </xf>
    <xf numFmtId="179" fontId="9" fillId="0" borderId="20" xfId="0" applyNumberFormat="1" applyFont="1" applyBorder="1" applyAlignment="1">
      <alignment vertical="center"/>
    </xf>
    <xf numFmtId="179" fontId="9" fillId="0" borderId="1" xfId="0" applyNumberFormat="1" applyFont="1" applyBorder="1" applyAlignment="1">
      <alignment vertical="center"/>
    </xf>
    <xf numFmtId="42" fontId="9" fillId="15" borderId="23" xfId="0" applyNumberFormat="1" applyFont="1" applyFill="1" applyBorder="1" applyAlignment="1">
      <alignment vertical="center"/>
    </xf>
    <xf numFmtId="42" fontId="9" fillId="4" borderId="17" xfId="0" applyNumberFormat="1" applyFont="1" applyFill="1" applyBorder="1" applyAlignment="1">
      <alignment vertical="center"/>
    </xf>
    <xf numFmtId="179" fontId="9" fillId="4" borderId="17" xfId="0" applyNumberFormat="1" applyFont="1" applyFill="1" applyBorder="1" applyAlignment="1">
      <alignment vertical="center"/>
    </xf>
    <xf numFmtId="42" fontId="9" fillId="15" borderId="17" xfId="0" applyNumberFormat="1" applyFont="1" applyFill="1" applyBorder="1" applyAlignment="1">
      <alignment vertical="center"/>
    </xf>
    <xf numFmtId="0" fontId="9" fillId="4" borderId="17" xfId="0" applyFont="1" applyFill="1" applyBorder="1" applyAlignment="1">
      <alignment vertical="center"/>
    </xf>
    <xf numFmtId="1" fontId="9" fillId="4" borderId="18" xfId="0" applyNumberFormat="1" applyFont="1" applyFill="1" applyBorder="1" applyAlignment="1">
      <alignment horizontal="center" vertical="center"/>
    </xf>
    <xf numFmtId="0" fontId="19" fillId="0" borderId="14" xfId="0" applyFont="1" applyBorder="1" applyAlignment="1">
      <alignment horizontal="right" vertical="center" wrapText="1"/>
    </xf>
    <xf numFmtId="0" fontId="11" fillId="2" borderId="36" xfId="0" applyFont="1" applyFill="1" applyBorder="1" applyAlignment="1">
      <alignment vertical="center" wrapText="1"/>
    </xf>
    <xf numFmtId="44" fontId="11" fillId="2" borderId="4" xfId="0" applyNumberFormat="1" applyFont="1" applyFill="1" applyBorder="1" applyAlignment="1">
      <alignment vertical="center"/>
    </xf>
    <xf numFmtId="171" fontId="11" fillId="2" borderId="4" xfId="0" applyNumberFormat="1" applyFont="1" applyFill="1" applyBorder="1" applyAlignment="1">
      <alignment horizontal="center" vertical="center"/>
    </xf>
    <xf numFmtId="42" fontId="10" fillId="0" borderId="1" xfId="0" quotePrefix="1" applyNumberFormat="1" applyFont="1" applyBorder="1" applyAlignment="1">
      <alignmen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168" fontId="9" fillId="0" borderId="9" xfId="0" applyNumberFormat="1" applyFont="1" applyBorder="1" applyAlignment="1">
      <alignment horizontal="center" vertical="center"/>
    </xf>
    <xf numFmtId="42" fontId="9" fillId="0" borderId="9" xfId="0" applyNumberFormat="1" applyFont="1" applyBorder="1" applyAlignment="1">
      <alignment horizontal="center" vertical="center"/>
    </xf>
    <xf numFmtId="0" fontId="9" fillId="22" borderId="48" xfId="0" quotePrefix="1" applyFont="1" applyFill="1" applyBorder="1" applyAlignment="1">
      <alignment vertical="center" wrapText="1"/>
    </xf>
    <xf numFmtId="168" fontId="9" fillId="0" borderId="3" xfId="0" applyNumberFormat="1" applyFont="1" applyBorder="1" applyAlignment="1">
      <alignment horizontal="center" vertical="center"/>
    </xf>
    <xf numFmtId="42" fontId="62" fillId="0" borderId="10" xfId="0" quotePrefix="1" applyNumberFormat="1" applyFont="1" applyBorder="1" applyAlignment="1">
      <alignment horizontal="center"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0" fontId="0" fillId="0" borderId="47" xfId="0" applyBorder="1" applyAlignment="1">
      <alignment horizontal="left" vertical="center"/>
    </xf>
    <xf numFmtId="44" fontId="3" fillId="2" borderId="14" xfId="0" applyNumberFormat="1" applyFont="1" applyFill="1" applyBorder="1" applyAlignment="1">
      <alignment horizontal="center" vertical="center"/>
    </xf>
    <xf numFmtId="0" fontId="0" fillId="0" borderId="57" xfId="0" applyBorder="1" applyAlignment="1">
      <alignment horizontal="centerContinuous" vertical="center"/>
    </xf>
    <xf numFmtId="0" fontId="0" fillId="0" borderId="32" xfId="0" applyBorder="1" applyAlignment="1">
      <alignment horizontal="centerContinuous" vertical="center"/>
    </xf>
    <xf numFmtId="0" fontId="0" fillId="0" borderId="47" xfId="0" applyBorder="1" applyAlignment="1">
      <alignment horizontal="centerContinuous" vertical="center"/>
    </xf>
    <xf numFmtId="0" fontId="0" fillId="0" borderId="72" xfId="0" applyBorder="1" applyAlignment="1">
      <alignment horizontal="centerContinuous" vertical="center"/>
    </xf>
    <xf numFmtId="0" fontId="0" fillId="0" borderId="3" xfId="0" applyBorder="1" applyAlignment="1">
      <alignment horizontal="center"/>
    </xf>
    <xf numFmtId="0" fontId="0" fillId="0" borderId="53" xfId="0" applyBorder="1" applyAlignment="1">
      <alignment horizontal="right"/>
    </xf>
    <xf numFmtId="0" fontId="0" fillId="0" borderId="57" xfId="0" applyBorder="1" applyAlignment="1">
      <alignment horizontal="right"/>
    </xf>
    <xf numFmtId="44" fontId="0" fillId="0" borderId="15" xfId="0" applyNumberFormat="1" applyBorder="1" applyAlignment="1">
      <alignment horizontal="center"/>
    </xf>
    <xf numFmtId="44" fontId="0" fillId="0" borderId="26" xfId="0" applyNumberFormat="1"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3" fillId="3" borderId="51" xfId="0" applyFont="1" applyFill="1" applyBorder="1" applyAlignment="1">
      <alignment horizontal="left" vertical="center"/>
    </xf>
    <xf numFmtId="0" fontId="0" fillId="3" borderId="52" xfId="0" applyFill="1" applyBorder="1" applyAlignment="1">
      <alignment horizontal="left" vertical="center"/>
    </xf>
    <xf numFmtId="42" fontId="33" fillId="17" borderId="8" xfId="0" applyNumberFormat="1" applyFont="1" applyFill="1" applyBorder="1" applyAlignment="1">
      <alignment horizontal="center" vertical="center"/>
    </xf>
    <xf numFmtId="9" fontId="0" fillId="0" borderId="43" xfId="0" applyNumberFormat="1" applyBorder="1" applyAlignment="1">
      <alignment horizontal="centerContinuous" vertical="center"/>
    </xf>
    <xf numFmtId="9" fontId="0" fillId="10" borderId="59" xfId="0" applyNumberFormat="1" applyFill="1" applyBorder="1" applyAlignment="1">
      <alignment horizontal="center" vertical="center"/>
    </xf>
    <xf numFmtId="9" fontId="0" fillId="10" borderId="63" xfId="0" applyNumberFormat="1" applyFill="1" applyBorder="1" applyAlignment="1">
      <alignment horizontal="center" vertical="center"/>
    </xf>
    <xf numFmtId="44" fontId="3" fillId="12" borderId="56" xfId="0" applyNumberFormat="1" applyFont="1" applyFill="1" applyBorder="1" applyAlignment="1">
      <alignment vertical="center"/>
    </xf>
    <xf numFmtId="0" fontId="3" fillId="10" borderId="3" xfId="0" applyFont="1" applyFill="1" applyBorder="1" applyAlignment="1">
      <alignment horizontal="center" vertical="center"/>
    </xf>
    <xf numFmtId="0" fontId="3" fillId="2" borderId="40" xfId="0" applyFont="1" applyFill="1" applyBorder="1" applyAlignment="1">
      <alignment horizontal="left" vertical="center"/>
    </xf>
    <xf numFmtId="42" fontId="3" fillId="14" borderId="0" xfId="0" applyNumberFormat="1" applyFont="1" applyFill="1" applyAlignment="1">
      <alignment horizontal="center" vertical="center"/>
    </xf>
    <xf numFmtId="42" fontId="3" fillId="15" borderId="15" xfId="0" applyNumberFormat="1" applyFont="1" applyFill="1" applyBorder="1" applyAlignment="1">
      <alignment horizontal="left" vertical="center"/>
    </xf>
    <xf numFmtId="42" fontId="11" fillId="15" borderId="15" xfId="0" applyNumberFormat="1" applyFont="1" applyFill="1" applyBorder="1" applyAlignment="1">
      <alignment horizontal="center" vertical="center"/>
    </xf>
    <xf numFmtId="0" fontId="0" fillId="0" borderId="61" xfId="0" applyBorder="1" applyAlignment="1">
      <alignment vertical="center" wrapText="1"/>
    </xf>
    <xf numFmtId="42" fontId="33" fillId="0" borderId="22" xfId="0" applyNumberFormat="1" applyFont="1" applyBorder="1" applyAlignment="1">
      <alignment horizontal="center" vertical="center"/>
    </xf>
    <xf numFmtId="42" fontId="33" fillId="0" borderId="23" xfId="0" applyNumberFormat="1" applyFont="1" applyBorder="1" applyAlignment="1">
      <alignment horizontal="center" vertical="center"/>
    </xf>
    <xf numFmtId="42" fontId="11" fillId="6" borderId="3" xfId="0" applyNumberFormat="1" applyFont="1" applyFill="1" applyBorder="1" applyAlignment="1">
      <alignment horizontal="center" vertical="center"/>
    </xf>
    <xf numFmtId="42" fontId="33" fillId="17" borderId="26" xfId="0" applyNumberFormat="1" applyFont="1" applyFill="1" applyBorder="1" applyAlignment="1">
      <alignment horizontal="center" vertical="center"/>
    </xf>
    <xf numFmtId="42" fontId="11" fillId="14" borderId="28" xfId="0" applyNumberFormat="1" applyFont="1" applyFill="1" applyBorder="1" applyAlignment="1">
      <alignment horizontal="center" vertical="center"/>
    </xf>
    <xf numFmtId="0" fontId="0" fillId="15" borderId="20" xfId="0" applyFill="1" applyBorder="1" applyAlignment="1">
      <alignment horizontal="left" vertical="center"/>
    </xf>
    <xf numFmtId="0" fontId="3" fillId="15" borderId="46" xfId="0" applyFont="1" applyFill="1" applyBorder="1" applyAlignment="1">
      <alignment horizontal="center" vertical="center"/>
    </xf>
    <xf numFmtId="0" fontId="3" fillId="15" borderId="47" xfId="0" applyFont="1" applyFill="1" applyBorder="1" applyAlignment="1">
      <alignment horizontal="center" vertical="center"/>
    </xf>
    <xf numFmtId="0" fontId="7" fillId="6" borderId="61" xfId="0" applyFont="1" applyFill="1" applyBorder="1" applyAlignment="1">
      <alignment vertical="center" wrapText="1"/>
    </xf>
    <xf numFmtId="42" fontId="3" fillId="6" borderId="23" xfId="0" applyNumberFormat="1" applyFont="1" applyFill="1" applyBorder="1" applyAlignment="1">
      <alignment horizontal="center" vertical="center"/>
    </xf>
    <xf numFmtId="42" fontId="3" fillId="6" borderId="22" xfId="0" applyNumberFormat="1" applyFont="1" applyFill="1" applyBorder="1" applyAlignment="1">
      <alignment horizontal="center" vertical="center"/>
    </xf>
    <xf numFmtId="0" fontId="9" fillId="0" borderId="9" xfId="0" applyFont="1" applyBorder="1" applyAlignment="1">
      <alignment horizontal="left" vertical="center" wrapText="1"/>
    </xf>
    <xf numFmtId="42" fontId="3" fillId="15" borderId="8" xfId="0" applyNumberFormat="1" applyFont="1" applyFill="1" applyBorder="1" applyAlignment="1">
      <alignment horizontal="left" vertical="center"/>
    </xf>
    <xf numFmtId="42" fontId="3" fillId="15" borderId="24" xfId="0" applyNumberFormat="1" applyFont="1" applyFill="1" applyBorder="1" applyAlignment="1">
      <alignment horizontal="left" vertical="center"/>
    </xf>
    <xf numFmtId="0" fontId="3" fillId="0" borderId="77" xfId="0" applyFont="1" applyBorder="1" applyAlignment="1">
      <alignment horizontal="center" vertical="center"/>
    </xf>
    <xf numFmtId="9" fontId="0" fillId="0" borderId="63" xfId="0" applyNumberFormat="1" applyBorder="1" applyAlignment="1">
      <alignment horizontal="center" vertical="center"/>
    </xf>
    <xf numFmtId="0" fontId="9" fillId="0" borderId="57" xfId="0" applyFont="1" applyBorder="1" applyAlignment="1">
      <alignment horizontal="center" vertical="center"/>
    </xf>
    <xf numFmtId="0" fontId="9" fillId="0" borderId="54" xfId="0" applyFont="1" applyBorder="1" applyAlignment="1">
      <alignment horizontal="center" vertical="center"/>
    </xf>
    <xf numFmtId="0" fontId="0" fillId="0" borderId="1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18" borderId="19" xfId="0" applyFill="1" applyBorder="1" applyAlignment="1">
      <alignment horizontal="right" vertical="center"/>
    </xf>
    <xf numFmtId="0" fontId="0" fillId="18" borderId="48" xfId="0" applyFill="1" applyBorder="1" applyAlignment="1">
      <alignment vertical="center"/>
    </xf>
    <xf numFmtId="0" fontId="0" fillId="18" borderId="19" xfId="0" applyFill="1" applyBorder="1" applyAlignment="1">
      <alignment vertical="center"/>
    </xf>
    <xf numFmtId="0" fontId="0" fillId="0" borderId="4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0" borderId="23" xfId="0" applyBorder="1" applyAlignment="1">
      <alignment horizontal="center" vertical="center"/>
    </xf>
    <xf numFmtId="44" fontId="3" fillId="3" borderId="14" xfId="0" applyNumberFormat="1" applyFont="1" applyFill="1" applyBorder="1" applyAlignment="1">
      <alignment horizontal="center" vertical="center"/>
    </xf>
    <xf numFmtId="0" fontId="0" fillId="0" borderId="36" xfId="0" applyBorder="1" applyAlignment="1">
      <alignment horizontal="center" vertical="center"/>
    </xf>
    <xf numFmtId="0" fontId="0" fillId="0" borderId="5" xfId="0" applyBorder="1" applyAlignment="1">
      <alignment vertical="center" wrapText="1"/>
    </xf>
    <xf numFmtId="44" fontId="3" fillId="12" borderId="19" xfId="0" applyNumberFormat="1" applyFont="1" applyFill="1" applyBorder="1" applyAlignment="1">
      <alignment horizontal="center" vertical="center"/>
    </xf>
    <xf numFmtId="44" fontId="3" fillId="2" borderId="44" xfId="0" applyNumberFormat="1" applyFont="1" applyFill="1" applyBorder="1" applyAlignment="1">
      <alignment horizontal="center" vertical="center"/>
    </xf>
    <xf numFmtId="0" fontId="3" fillId="10" borderId="48" xfId="0" applyFont="1" applyFill="1" applyBorder="1" applyAlignment="1">
      <alignment horizontal="center" vertical="center"/>
    </xf>
    <xf numFmtId="42" fontId="3" fillId="10" borderId="48" xfId="0" applyNumberFormat="1" applyFont="1" applyFill="1" applyBorder="1" applyAlignment="1">
      <alignment horizontal="center" vertical="center"/>
    </xf>
    <xf numFmtId="44" fontId="3" fillId="10" borderId="56" xfId="0" applyNumberFormat="1" applyFont="1" applyFill="1" applyBorder="1" applyAlignment="1">
      <alignment horizontal="center" vertical="center"/>
    </xf>
    <xf numFmtId="44" fontId="3" fillId="10" borderId="54" xfId="0" applyNumberFormat="1" applyFont="1" applyFill="1" applyBorder="1" applyAlignment="1">
      <alignment horizontal="center" vertical="center"/>
    </xf>
    <xf numFmtId="44" fontId="3" fillId="10" borderId="57" xfId="0" applyNumberFormat="1" applyFont="1" applyFill="1" applyBorder="1" applyAlignment="1">
      <alignment horizontal="center" vertical="center"/>
    </xf>
    <xf numFmtId="44" fontId="3" fillId="10" borderId="51" xfId="0" applyNumberFormat="1" applyFont="1" applyFill="1" applyBorder="1" applyAlignment="1">
      <alignment horizontal="center" vertical="center"/>
    </xf>
    <xf numFmtId="42" fontId="3" fillId="10" borderId="3" xfId="0" applyNumberFormat="1" applyFont="1" applyFill="1" applyBorder="1" applyAlignment="1">
      <alignment horizontal="center" vertical="center"/>
    </xf>
    <xf numFmtId="44" fontId="3" fillId="10" borderId="8" xfId="0" applyNumberFormat="1" applyFont="1" applyFill="1" applyBorder="1" applyAlignment="1">
      <alignment horizontal="center" vertical="center"/>
    </xf>
    <xf numFmtId="44" fontId="3" fillId="10" borderId="9" xfId="0" applyNumberFormat="1" applyFont="1" applyFill="1" applyBorder="1" applyAlignment="1">
      <alignment horizontal="center" vertical="center"/>
    </xf>
    <xf numFmtId="44" fontId="3" fillId="10" borderId="26" xfId="0" applyNumberFormat="1" applyFont="1" applyFill="1" applyBorder="1" applyAlignment="1">
      <alignment horizontal="center" vertical="center"/>
    </xf>
    <xf numFmtId="44" fontId="3" fillId="10" borderId="24" xfId="0" applyNumberFormat="1" applyFont="1" applyFill="1" applyBorder="1" applyAlignment="1">
      <alignment horizontal="center" vertical="center"/>
    </xf>
    <xf numFmtId="0" fontId="3" fillId="2" borderId="22" xfId="0" applyFont="1" applyFill="1" applyBorder="1" applyAlignment="1">
      <alignment vertical="center"/>
    </xf>
    <xf numFmtId="44" fontId="3" fillId="10" borderId="48" xfId="0" applyNumberFormat="1" applyFont="1" applyFill="1" applyBorder="1" applyAlignment="1">
      <alignment horizontal="center" vertical="center"/>
    </xf>
    <xf numFmtId="44" fontId="3" fillId="10" borderId="3" xfId="0" applyNumberFormat="1" applyFont="1" applyFill="1" applyBorder="1" applyAlignment="1">
      <alignment horizontal="center" vertical="center"/>
    </xf>
    <xf numFmtId="0" fontId="0" fillId="10" borderId="52" xfId="0" applyFill="1" applyBorder="1" applyAlignment="1">
      <alignment horizontal="left" vertical="center"/>
    </xf>
    <xf numFmtId="0" fontId="0" fillId="0" borderId="76" xfId="0" applyBorder="1" applyAlignment="1">
      <alignment horizontal="centerContinuous" vertical="center"/>
    </xf>
    <xf numFmtId="9" fontId="0" fillId="0" borderId="73" xfId="0" applyNumberFormat="1" applyBorder="1" applyAlignment="1">
      <alignment horizontal="center" vertical="center"/>
    </xf>
    <xf numFmtId="9" fontId="0" fillId="10" borderId="7" xfId="0" applyNumberFormat="1" applyFill="1" applyBorder="1" applyAlignment="1">
      <alignment horizontal="center" vertical="center"/>
    </xf>
    <xf numFmtId="9" fontId="0" fillId="0" borderId="7" xfId="0" applyNumberFormat="1" applyBorder="1" applyAlignment="1">
      <alignment horizontal="center" vertical="center"/>
    </xf>
    <xf numFmtId="9" fontId="0" fillId="0" borderId="68" xfId="0" applyNumberFormat="1" applyBorder="1" applyAlignment="1">
      <alignment horizontal="center" vertical="center"/>
    </xf>
    <xf numFmtId="9" fontId="0" fillId="10" borderId="78" xfId="0" applyNumberFormat="1" applyFill="1" applyBorder="1" applyAlignment="1">
      <alignment horizontal="center" vertical="center"/>
    </xf>
    <xf numFmtId="9" fontId="0" fillId="10" borderId="33"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34" xfId="0" applyNumberFormat="1" applyFill="1" applyBorder="1" applyAlignment="1">
      <alignment horizontal="center" vertical="center"/>
    </xf>
    <xf numFmtId="9" fontId="0" fillId="10" borderId="13" xfId="0" applyNumberFormat="1" applyFill="1" applyBorder="1" applyAlignment="1">
      <alignment horizontal="center" vertical="center"/>
    </xf>
    <xf numFmtId="9" fontId="0" fillId="10" borderId="35" xfId="0" applyNumberFormat="1" applyFill="1" applyBorder="1" applyAlignment="1">
      <alignment horizontal="center" vertical="center"/>
    </xf>
    <xf numFmtId="9" fontId="0" fillId="10" borderId="21" xfId="0" applyNumberFormat="1" applyFill="1" applyBorder="1" applyAlignment="1">
      <alignment horizontal="center" vertical="center"/>
    </xf>
    <xf numFmtId="42" fontId="32" fillId="14" borderId="3" xfId="0" applyNumberFormat="1" applyFont="1" applyFill="1" applyBorder="1" applyAlignment="1">
      <alignment horizontal="center" vertical="center"/>
    </xf>
    <xf numFmtId="42" fontId="32" fillId="14" borderId="19" xfId="0" applyNumberFormat="1" applyFont="1" applyFill="1" applyBorder="1" applyAlignment="1">
      <alignment horizontal="center" vertical="center"/>
    </xf>
    <xf numFmtId="0" fontId="62" fillId="0" borderId="9" xfId="0" applyFont="1" applyBorder="1" applyAlignment="1">
      <alignment horizontal="left" vertical="center" wrapText="1"/>
    </xf>
    <xf numFmtId="0" fontId="0" fillId="0" borderId="12" xfId="0" applyBorder="1" applyAlignment="1">
      <alignment vertical="center" wrapText="1"/>
    </xf>
    <xf numFmtId="42" fontId="3" fillId="15" borderId="69" xfId="0" applyNumberFormat="1" applyFont="1" applyFill="1" applyBorder="1" applyAlignment="1">
      <alignment horizontal="center" vertical="center"/>
    </xf>
    <xf numFmtId="0" fontId="3" fillId="0" borderId="9" xfId="0" quotePrefix="1" applyFont="1" applyBorder="1" applyAlignment="1">
      <alignment horizontal="center" vertical="center"/>
    </xf>
    <xf numFmtId="0" fontId="0" fillId="0" borderId="17" xfId="0" quotePrefix="1" applyBorder="1" applyAlignment="1">
      <alignment vertical="center" wrapText="1"/>
    </xf>
    <xf numFmtId="44" fontId="3" fillId="15" borderId="3" xfId="0" applyNumberFormat="1" applyFont="1" applyFill="1" applyBorder="1" applyAlignment="1">
      <alignment vertical="center"/>
    </xf>
    <xf numFmtId="42" fontId="3" fillId="15" borderId="31" xfId="0" applyNumberFormat="1" applyFont="1" applyFill="1" applyBorder="1" applyAlignment="1">
      <alignment horizontal="center" vertical="center"/>
    </xf>
    <xf numFmtId="42" fontId="3" fillId="15" borderId="30" xfId="0" applyNumberFormat="1" applyFont="1" applyFill="1" applyBorder="1" applyAlignment="1">
      <alignment horizontal="center" vertical="center"/>
    </xf>
    <xf numFmtId="42" fontId="3" fillId="15" borderId="72" xfId="0" applyNumberFormat="1" applyFont="1" applyFill="1" applyBorder="1" applyAlignment="1">
      <alignment horizontal="center" vertical="center"/>
    </xf>
    <xf numFmtId="0" fontId="3" fillId="12" borderId="8"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5" xfId="0" applyFont="1" applyFill="1" applyBorder="1" applyAlignment="1">
      <alignment horizontal="left" vertical="center" wrapText="1"/>
    </xf>
    <xf numFmtId="0" fontId="3" fillId="12" borderId="26" xfId="0" applyFont="1" applyFill="1" applyBorder="1" applyAlignment="1">
      <alignment horizontal="left" vertical="center" wrapText="1"/>
    </xf>
    <xf numFmtId="42" fontId="3" fillId="14" borderId="48" xfId="0" applyNumberFormat="1" applyFont="1" applyFill="1" applyBorder="1" applyAlignment="1">
      <alignment horizontal="center" vertical="center"/>
    </xf>
    <xf numFmtId="42" fontId="3" fillId="12" borderId="45" xfId="0" applyNumberFormat="1" applyFont="1" applyFill="1" applyBorder="1" applyAlignment="1">
      <alignment horizontal="center" vertical="center"/>
    </xf>
    <xf numFmtId="42" fontId="3" fillId="15" borderId="3" xfId="0" applyNumberFormat="1" applyFont="1" applyFill="1" applyBorder="1" applyAlignment="1">
      <alignment vertical="center"/>
    </xf>
    <xf numFmtId="0" fontId="0" fillId="10" borderId="45" xfId="0" applyFill="1" applyBorder="1" applyAlignment="1">
      <alignment horizontal="left" vertical="center"/>
    </xf>
    <xf numFmtId="0" fontId="0" fillId="10" borderId="46" xfId="0" applyFill="1" applyBorder="1" applyAlignment="1">
      <alignment horizontal="left" vertical="center"/>
    </xf>
    <xf numFmtId="0" fontId="0" fillId="10" borderId="47" xfId="0" applyFill="1" applyBorder="1" applyAlignment="1">
      <alignment horizontal="left" vertical="center"/>
    </xf>
    <xf numFmtId="0" fontId="3" fillId="2" borderId="23" xfId="0" applyFont="1" applyFill="1" applyBorder="1" applyAlignment="1">
      <alignment horizontal="left" vertical="center"/>
    </xf>
    <xf numFmtId="0" fontId="0" fillId="0" borderId="8" xfId="0" quotePrefix="1" applyBorder="1" applyAlignment="1">
      <alignment horizontal="left" vertical="center"/>
    </xf>
    <xf numFmtId="0" fontId="0" fillId="0" borderId="9" xfId="0" quotePrefix="1" applyBorder="1" applyAlignment="1">
      <alignment horizontal="left" vertical="center"/>
    </xf>
    <xf numFmtId="0" fontId="5" fillId="0" borderId="9" xfId="0" quotePrefix="1" applyFont="1" applyBorder="1" applyAlignment="1">
      <alignment horizontal="left" vertical="center"/>
    </xf>
    <xf numFmtId="0" fontId="0" fillId="0" borderId="26" xfId="0" quotePrefix="1" applyBorder="1" applyAlignment="1">
      <alignment horizontal="left" vertical="center"/>
    </xf>
    <xf numFmtId="0" fontId="5" fillId="0" borderId="26" xfId="0" quotePrefix="1" applyFont="1" applyBorder="1" applyAlignment="1">
      <alignment horizontal="left" vertical="center"/>
    </xf>
    <xf numFmtId="0" fontId="0" fillId="0" borderId="24" xfId="0" quotePrefix="1" applyBorder="1" applyAlignment="1">
      <alignment horizontal="left" vertical="center"/>
    </xf>
    <xf numFmtId="0" fontId="11" fillId="2" borderId="48" xfId="0" applyFont="1" applyFill="1" applyBorder="1" applyAlignment="1">
      <alignment horizontal="left" vertical="center" wrapText="1" indent="1"/>
    </xf>
    <xf numFmtId="6" fontId="9" fillId="0" borderId="78" xfId="0" applyNumberFormat="1" applyFont="1" applyBorder="1" applyAlignment="1">
      <alignment horizontal="left" vertical="center" wrapText="1" indent="1"/>
    </xf>
    <xf numFmtId="6" fontId="9" fillId="0" borderId="63" xfId="0" applyNumberFormat="1" applyFont="1" applyBorder="1" applyAlignment="1">
      <alignment horizontal="left" vertical="center" wrapText="1" indent="1"/>
    </xf>
    <xf numFmtId="42" fontId="3" fillId="0" borderId="76" xfId="0" applyNumberFormat="1" applyFont="1" applyBorder="1" applyAlignment="1">
      <alignment horizontal="center" vertical="center"/>
    </xf>
    <xf numFmtId="42" fontId="3" fillId="15" borderId="9" xfId="0" applyNumberFormat="1" applyFont="1" applyFill="1" applyBorder="1" applyAlignment="1">
      <alignment vertical="center"/>
    </xf>
    <xf numFmtId="0" fontId="34" fillId="7" borderId="4" xfId="0" applyFont="1" applyFill="1" applyBorder="1" applyAlignment="1">
      <alignment horizontal="right" vertical="center"/>
    </xf>
    <xf numFmtId="42" fontId="11" fillId="0" borderId="71" xfId="0" applyNumberFormat="1" applyFont="1" applyBorder="1" applyAlignment="1">
      <alignment horizontal="center" vertical="center"/>
    </xf>
    <xf numFmtId="42" fontId="11" fillId="15" borderId="72" xfId="0" applyNumberFormat="1" applyFont="1" applyFill="1" applyBorder="1" applyAlignment="1">
      <alignment horizontal="center" vertical="center"/>
    </xf>
    <xf numFmtId="42" fontId="11" fillId="17" borderId="46" xfId="0" applyNumberFormat="1" applyFont="1" applyFill="1" applyBorder="1" applyAlignment="1">
      <alignment horizontal="center" vertical="center"/>
    </xf>
    <xf numFmtId="42" fontId="11" fillId="17" borderId="76" xfId="0" applyNumberFormat="1" applyFont="1" applyFill="1" applyBorder="1" applyAlignment="1">
      <alignment horizontal="center" vertical="center"/>
    </xf>
    <xf numFmtId="42" fontId="11" fillId="0" borderId="45" xfId="0" applyNumberFormat="1" applyFont="1" applyBorder="1" applyAlignment="1">
      <alignment horizontal="center" vertical="center"/>
    </xf>
    <xf numFmtId="42" fontId="11" fillId="0" borderId="76" xfId="0" applyNumberFormat="1" applyFont="1" applyBorder="1" applyAlignment="1">
      <alignment horizontal="center" vertical="center"/>
    </xf>
    <xf numFmtId="42" fontId="11" fillId="0" borderId="19" xfId="0" applyNumberFormat="1" applyFont="1" applyBorder="1" applyAlignment="1">
      <alignment horizontal="center" vertical="center" wrapText="1"/>
    </xf>
    <xf numFmtId="42" fontId="11" fillId="0" borderId="46" xfId="0" applyNumberFormat="1" applyFont="1" applyBorder="1" applyAlignment="1">
      <alignment horizontal="center" vertical="center" wrapText="1"/>
    </xf>
    <xf numFmtId="42" fontId="11" fillId="0" borderId="47" xfId="0" applyNumberFormat="1" applyFont="1" applyBorder="1" applyAlignment="1">
      <alignment horizontal="center" vertical="center" wrapText="1"/>
    </xf>
    <xf numFmtId="42" fontId="61" fillId="22" borderId="9" xfId="0" applyNumberFormat="1" applyFont="1" applyFill="1" applyBorder="1" applyAlignment="1">
      <alignment horizontal="center" vertical="center"/>
    </xf>
    <xf numFmtId="42" fontId="11" fillId="15" borderId="10" xfId="0" applyNumberFormat="1" applyFont="1" applyFill="1" applyBorder="1" applyAlignment="1">
      <alignment horizontal="center" vertical="center"/>
    </xf>
    <xf numFmtId="42" fontId="11" fillId="15" borderId="3" xfId="0" applyNumberFormat="1" applyFont="1" applyFill="1" applyBorder="1" applyAlignment="1">
      <alignment horizontal="center" vertical="center" wrapText="1"/>
    </xf>
    <xf numFmtId="42" fontId="41" fillId="15" borderId="15" xfId="0" applyNumberFormat="1" applyFont="1" applyFill="1" applyBorder="1" applyAlignment="1">
      <alignment horizontal="center" vertical="center"/>
    </xf>
    <xf numFmtId="42" fontId="43" fillId="15" borderId="9" xfId="0" applyNumberFormat="1" applyFont="1" applyFill="1" applyBorder="1" applyAlignment="1">
      <alignment horizontal="center" vertical="center" wrapText="1"/>
    </xf>
    <xf numFmtId="42" fontId="11" fillId="15" borderId="26" xfId="0" applyNumberFormat="1" applyFont="1" applyFill="1" applyBorder="1" applyAlignment="1">
      <alignment horizontal="center" vertical="center" wrapText="1"/>
    </xf>
    <xf numFmtId="42" fontId="3" fillId="15" borderId="58" xfId="0" applyNumberFormat="1" applyFont="1" applyFill="1" applyBorder="1" applyAlignment="1">
      <alignment horizontal="center" vertical="center"/>
    </xf>
    <xf numFmtId="42" fontId="11" fillId="17" borderId="58" xfId="0" applyNumberFormat="1" applyFont="1" applyFill="1" applyBorder="1" applyAlignment="1">
      <alignment horizontal="center" vertical="center"/>
    </xf>
    <xf numFmtId="42" fontId="11" fillId="17" borderId="72" xfId="0" applyNumberFormat="1" applyFont="1" applyFill="1" applyBorder="1" applyAlignment="1">
      <alignment horizontal="center" vertical="center"/>
    </xf>
    <xf numFmtId="42" fontId="33" fillId="17" borderId="50" xfId="0" applyNumberFormat="1" applyFont="1" applyFill="1" applyBorder="1" applyAlignment="1">
      <alignment horizontal="center" vertical="center"/>
    </xf>
    <xf numFmtId="42" fontId="33" fillId="6" borderId="29" xfId="0" applyNumberFormat="1" applyFont="1" applyFill="1" applyBorder="1" applyAlignment="1">
      <alignment horizontal="center" vertical="center"/>
    </xf>
    <xf numFmtId="42" fontId="11" fillId="0" borderId="31" xfId="0" applyNumberFormat="1" applyFont="1" applyBorder="1" applyAlignment="1">
      <alignment horizontal="center" vertical="center"/>
    </xf>
    <xf numFmtId="42" fontId="11" fillId="0" borderId="72" xfId="0" applyNumberFormat="1" applyFont="1" applyBorder="1" applyAlignment="1">
      <alignment horizontal="center" vertical="center"/>
    </xf>
    <xf numFmtId="42" fontId="33" fillId="14" borderId="50" xfId="0" applyNumberFormat="1" applyFont="1" applyFill="1" applyBorder="1" applyAlignment="1">
      <alignment horizontal="center" vertical="center"/>
    </xf>
    <xf numFmtId="42" fontId="11" fillId="0" borderId="50" xfId="0" applyNumberFormat="1" applyFont="1" applyBorder="1" applyAlignment="1">
      <alignment horizontal="center" vertical="center" wrapText="1"/>
    </xf>
    <xf numFmtId="42" fontId="11" fillId="0" borderId="58" xfId="0" applyNumberFormat="1" applyFont="1" applyBorder="1" applyAlignment="1">
      <alignment horizontal="center" vertical="center" wrapText="1"/>
    </xf>
    <xf numFmtId="42" fontId="11" fillId="0" borderId="32" xfId="0" applyNumberFormat="1" applyFont="1" applyBorder="1" applyAlignment="1">
      <alignment horizontal="center" vertical="center" wrapText="1"/>
    </xf>
    <xf numFmtId="42" fontId="3" fillId="14" borderId="23" xfId="0" applyNumberFormat="1" applyFont="1" applyFill="1" applyBorder="1" applyAlignment="1">
      <alignment horizontal="center" vertical="center"/>
    </xf>
    <xf numFmtId="42" fontId="33" fillId="6" borderId="24" xfId="0" applyNumberFormat="1" applyFont="1" applyFill="1" applyBorder="1" applyAlignment="1">
      <alignment horizontal="center" vertical="center"/>
    </xf>
    <xf numFmtId="42" fontId="10" fillId="17" borderId="46" xfId="0" applyNumberFormat="1" applyFont="1" applyFill="1" applyBorder="1" applyAlignment="1">
      <alignment horizontal="center" vertical="center"/>
    </xf>
    <xf numFmtId="42" fontId="10" fillId="17" borderId="9" xfId="0" applyNumberFormat="1" applyFont="1" applyFill="1" applyBorder="1" applyAlignment="1">
      <alignment horizontal="center" vertical="center"/>
    </xf>
    <xf numFmtId="42" fontId="61" fillId="0" borderId="46" xfId="0" applyNumberFormat="1" applyFont="1" applyBorder="1" applyAlignment="1">
      <alignment horizontal="center" vertical="center"/>
    </xf>
    <xf numFmtId="0" fontId="0" fillId="0" borderId="11" xfId="0" quotePrefix="1" applyBorder="1" applyAlignment="1">
      <alignment vertical="center" wrapText="1"/>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63" xfId="0" quotePrefix="1" applyFont="1" applyBorder="1" applyAlignment="1">
      <alignment horizontal="center" vertical="center"/>
    </xf>
    <xf numFmtId="0" fontId="3" fillId="4" borderId="5" xfId="0" quotePrefix="1" applyFont="1" applyFill="1" applyBorder="1" applyAlignment="1">
      <alignment horizontal="center" vertical="center"/>
    </xf>
    <xf numFmtId="42" fontId="3" fillId="4" borderId="3" xfId="0" applyNumberFormat="1" applyFont="1" applyFill="1" applyBorder="1" applyAlignment="1">
      <alignment horizontal="center" vertical="center"/>
    </xf>
    <xf numFmtId="0" fontId="0" fillId="0" borderId="6" xfId="0" quotePrefix="1" applyBorder="1" applyAlignment="1">
      <alignment vertical="center" wrapText="1"/>
    </xf>
    <xf numFmtId="42" fontId="3" fillId="17" borderId="3" xfId="0" applyNumberFormat="1" applyFont="1" applyFill="1" applyBorder="1" applyAlignment="1">
      <alignment horizontal="center" vertical="center"/>
    </xf>
    <xf numFmtId="0" fontId="0" fillId="0" borderId="2" xfId="0" quotePrefix="1" applyBorder="1" applyAlignment="1">
      <alignment vertical="center" wrapText="1"/>
    </xf>
    <xf numFmtId="42" fontId="3" fillId="17" borderId="14" xfId="0" applyNumberFormat="1" applyFont="1" applyFill="1" applyBorder="1" applyAlignment="1">
      <alignment horizontal="center" vertical="center"/>
    </xf>
    <xf numFmtId="0" fontId="41" fillId="14" borderId="61" xfId="0" applyFont="1" applyFill="1" applyBorder="1" applyAlignment="1">
      <alignment horizontal="right" vertical="center" wrapText="1"/>
    </xf>
    <xf numFmtId="0" fontId="3" fillId="0" borderId="67" xfId="0" quotePrefix="1" applyFont="1" applyBorder="1" applyAlignment="1">
      <alignment horizontal="center" vertical="center"/>
    </xf>
    <xf numFmtId="0" fontId="3" fillId="4" borderId="36" xfId="0" quotePrefix="1" applyFont="1" applyFill="1" applyBorder="1" applyAlignment="1">
      <alignment horizontal="right" vertical="center" wrapText="1"/>
    </xf>
    <xf numFmtId="0" fontId="3" fillId="4" borderId="40" xfId="0" quotePrefix="1" applyFont="1" applyFill="1" applyBorder="1" applyAlignment="1">
      <alignment horizontal="center" vertical="center"/>
    </xf>
    <xf numFmtId="42" fontId="11" fillId="4" borderId="3" xfId="0" applyNumberFormat="1" applyFont="1" applyFill="1" applyBorder="1" applyAlignment="1">
      <alignment horizontal="center" vertical="center"/>
    </xf>
    <xf numFmtId="42" fontId="3" fillId="22" borderId="27" xfId="0" applyNumberFormat="1" applyFont="1" applyFill="1" applyBorder="1" applyAlignment="1">
      <alignment horizontal="center" vertical="center"/>
    </xf>
    <xf numFmtId="42" fontId="3" fillId="22" borderId="0" xfId="0" applyNumberFormat="1" applyFont="1" applyFill="1" applyAlignment="1">
      <alignment horizontal="center" vertical="center"/>
    </xf>
    <xf numFmtId="0" fontId="3" fillId="0" borderId="79" xfId="0" applyFont="1" applyBorder="1" applyAlignment="1">
      <alignment horizontal="center" vertical="center"/>
    </xf>
    <xf numFmtId="44" fontId="0" fillId="15" borderId="49" xfId="0" applyNumberFormat="1" applyFill="1" applyBorder="1" applyAlignment="1">
      <alignment vertical="center"/>
    </xf>
    <xf numFmtId="44" fontId="0" fillId="15" borderId="14" xfId="0" applyNumberFormat="1" applyFill="1" applyBorder="1" applyAlignment="1">
      <alignment vertical="center"/>
    </xf>
    <xf numFmtId="44" fontId="0" fillId="15" borderId="3" xfId="0" applyNumberFormat="1" applyFill="1" applyBorder="1" applyAlignment="1">
      <alignment vertical="center"/>
    </xf>
    <xf numFmtId="44" fontId="3" fillId="12" borderId="55" xfId="0" applyNumberFormat="1" applyFont="1" applyFill="1" applyBorder="1" applyAlignment="1">
      <alignment vertical="center"/>
    </xf>
    <xf numFmtId="44" fontId="3" fillId="15" borderId="44" xfId="0" applyNumberFormat="1" applyFont="1" applyFill="1" applyBorder="1" applyAlignment="1">
      <alignment vertical="center"/>
    </xf>
    <xf numFmtId="44" fontId="0" fillId="15" borderId="10" xfId="0" applyNumberFormat="1" applyFill="1" applyBorder="1" applyAlignment="1">
      <alignment vertical="center"/>
    </xf>
    <xf numFmtId="44" fontId="0" fillId="15" borderId="23" xfId="0" applyNumberFormat="1" applyFill="1" applyBorder="1" applyAlignment="1">
      <alignment horizontal="center" vertical="center"/>
    </xf>
    <xf numFmtId="44" fontId="3" fillId="15" borderId="14" xfId="0" applyNumberFormat="1" applyFont="1" applyFill="1" applyBorder="1" applyAlignment="1">
      <alignment vertical="center"/>
    </xf>
    <xf numFmtId="44" fontId="3" fillId="12" borderId="57" xfId="0" applyNumberFormat="1" applyFont="1" applyFill="1" applyBorder="1" applyAlignment="1">
      <alignment vertical="center"/>
    </xf>
    <xf numFmtId="44" fontId="3" fillId="12" borderId="48" xfId="0" applyNumberFormat="1" applyFont="1" applyFill="1" applyBorder="1" applyAlignment="1">
      <alignment vertical="center"/>
    </xf>
    <xf numFmtId="42" fontId="3" fillId="17" borderId="0" xfId="0" applyNumberFormat="1" applyFont="1" applyFill="1" applyAlignment="1">
      <alignment horizontal="center" vertical="center"/>
    </xf>
    <xf numFmtId="0" fontId="3" fillId="15" borderId="36" xfId="0" applyFont="1" applyFill="1" applyBorder="1" applyAlignment="1">
      <alignment horizontal="center" vertical="center"/>
    </xf>
    <xf numFmtId="0" fontId="3" fillId="15" borderId="5" xfId="0" applyFont="1" applyFill="1" applyBorder="1" applyAlignment="1">
      <alignment horizontal="center" vertical="center"/>
    </xf>
    <xf numFmtId="44" fontId="3" fillId="3" borderId="8" xfId="0" applyNumberFormat="1" applyFont="1" applyFill="1" applyBorder="1" applyAlignment="1">
      <alignment vertical="center"/>
    </xf>
    <xf numFmtId="169" fontId="3" fillId="15" borderId="32" xfId="0" applyNumberFormat="1" applyFont="1" applyFill="1" applyBorder="1" applyAlignment="1">
      <alignment horizontal="center" vertical="center"/>
    </xf>
    <xf numFmtId="42" fontId="33" fillId="17" borderId="45" xfId="0" applyNumberFormat="1" applyFont="1" applyFill="1" applyBorder="1" applyAlignment="1">
      <alignment horizontal="center" vertical="center"/>
    </xf>
    <xf numFmtId="0" fontId="0" fillId="0" borderId="3" xfId="0" applyBorder="1" applyAlignment="1">
      <alignment vertical="center"/>
    </xf>
    <xf numFmtId="0" fontId="3" fillId="23" borderId="49" xfId="0" applyFont="1" applyFill="1" applyBorder="1" applyAlignment="1">
      <alignment horizontal="right" vertical="center"/>
    </xf>
    <xf numFmtId="42" fontId="3" fillId="23" borderId="23" xfId="0" applyNumberFormat="1" applyFont="1" applyFill="1" applyBorder="1" applyAlignment="1">
      <alignment vertical="center"/>
    </xf>
    <xf numFmtId="0" fontId="3" fillId="12" borderId="31" xfId="0" applyFont="1" applyFill="1" applyBorder="1" applyAlignment="1">
      <alignment horizontal="center" vertical="center"/>
    </xf>
    <xf numFmtId="0" fontId="3" fillId="12" borderId="32" xfId="0" applyFont="1" applyFill="1" applyBorder="1" applyAlignment="1">
      <alignment horizontal="center" vertical="center"/>
    </xf>
    <xf numFmtId="0" fontId="0" fillId="0" borderId="26" xfId="0" applyBorder="1" applyAlignment="1">
      <alignment vertical="center"/>
    </xf>
    <xf numFmtId="0" fontId="3" fillId="0" borderId="62" xfId="0" quotePrefix="1" applyFont="1" applyBorder="1" applyAlignment="1">
      <alignment horizontal="center" vertical="center"/>
    </xf>
    <xf numFmtId="0" fontId="11" fillId="0" borderId="13" xfId="0" quotePrefix="1" applyFont="1" applyBorder="1" applyAlignment="1">
      <alignment horizontal="center" vertical="center"/>
    </xf>
    <xf numFmtId="0" fontId="3" fillId="2" borderId="28" xfId="0" applyFont="1" applyFill="1" applyBorder="1" applyAlignment="1">
      <alignment horizontal="right"/>
    </xf>
    <xf numFmtId="0" fontId="2" fillId="0" borderId="42" xfId="0" applyFont="1" applyBorder="1" applyAlignment="1">
      <alignment vertical="center" wrapText="1"/>
    </xf>
    <xf numFmtId="0" fontId="3" fillId="0" borderId="10" xfId="0" quotePrefix="1" applyFont="1" applyBorder="1" applyAlignment="1">
      <alignment horizontal="center" vertical="center"/>
    </xf>
    <xf numFmtId="0" fontId="2" fillId="14" borderId="4" xfId="0" applyFont="1" applyFill="1" applyBorder="1" applyAlignment="1">
      <alignment vertical="center" wrapText="1"/>
    </xf>
    <xf numFmtId="0" fontId="0" fillId="0" borderId="48" xfId="0" applyBorder="1"/>
    <xf numFmtId="0" fontId="0" fillId="0" borderId="19" xfId="0" applyBorder="1"/>
    <xf numFmtId="49" fontId="0" fillId="0" borderId="19" xfId="0" applyNumberFormat="1" applyBorder="1" applyAlignment="1">
      <alignment horizontal="center"/>
    </xf>
    <xf numFmtId="0" fontId="0" fillId="0" borderId="28" xfId="0" applyBorder="1"/>
    <xf numFmtId="42" fontId="11" fillId="15" borderId="15" xfId="1" applyNumberFormat="1" applyFont="1" applyFill="1" applyBorder="1" applyAlignment="1">
      <alignment horizontal="center" vertical="top"/>
    </xf>
    <xf numFmtId="42" fontId="11" fillId="15" borderId="9" xfId="1" applyNumberFormat="1" applyFont="1" applyFill="1" applyBorder="1" applyAlignment="1">
      <alignment horizontal="center" vertical="top"/>
    </xf>
    <xf numFmtId="0" fontId="9" fillId="0" borderId="15" xfId="0" applyFont="1" applyBorder="1"/>
    <xf numFmtId="0" fontId="11" fillId="0" borderId="9" xfId="1" quotePrefix="1" applyFont="1" applyBorder="1" applyAlignment="1">
      <alignment vertical="top"/>
    </xf>
    <xf numFmtId="0" fontId="9" fillId="0" borderId="9" xfId="0" applyFont="1" applyBorder="1"/>
    <xf numFmtId="0" fontId="9" fillId="0" borderId="10" xfId="0" applyFont="1" applyBorder="1"/>
    <xf numFmtId="0" fontId="9" fillId="0" borderId="9" xfId="1" quotePrefix="1" applyFont="1" applyBorder="1" applyAlignment="1">
      <alignment vertical="top"/>
    </xf>
    <xf numFmtId="0" fontId="3" fillId="3" borderId="3" xfId="0" applyFont="1" applyFill="1" applyBorder="1" applyAlignment="1">
      <alignment horizontal="right"/>
    </xf>
    <xf numFmtId="0" fontId="9" fillId="0" borderId="69" xfId="1" applyFont="1" applyBorder="1" applyAlignment="1">
      <alignment horizontal="left" vertical="top"/>
    </xf>
    <xf numFmtId="1" fontId="3" fillId="15" borderId="28" xfId="0" applyNumberFormat="1" applyFont="1" applyFill="1" applyBorder="1" applyAlignment="1">
      <alignment horizontal="center"/>
    </xf>
    <xf numFmtId="0" fontId="3" fillId="14" borderId="23" xfId="0" applyFont="1" applyFill="1" applyBorder="1" applyAlignment="1">
      <alignment horizontal="center"/>
    </xf>
    <xf numFmtId="0" fontId="3" fillId="14" borderId="24" xfId="0" applyFont="1" applyFill="1" applyBorder="1" applyAlignment="1">
      <alignment horizontal="center"/>
    </xf>
    <xf numFmtId="164" fontId="0" fillId="0" borderId="0" xfId="0" applyNumberFormat="1"/>
    <xf numFmtId="0" fontId="0" fillId="15" borderId="73" xfId="0" applyFill="1" applyBorder="1"/>
    <xf numFmtId="0" fontId="3" fillId="23" borderId="19" xfId="0" applyFont="1" applyFill="1" applyBorder="1" applyAlignment="1">
      <alignment horizontal="center" vertical="center"/>
    </xf>
    <xf numFmtId="0" fontId="3" fillId="0" borderId="21" xfId="0" quotePrefix="1" applyFont="1" applyBorder="1" applyAlignment="1">
      <alignment horizontal="center" vertical="center"/>
    </xf>
    <xf numFmtId="0" fontId="0" fillId="15" borderId="45" xfId="0" applyFill="1" applyBorder="1" applyAlignment="1">
      <alignment horizontal="left"/>
    </xf>
    <xf numFmtId="0" fontId="0" fillId="15" borderId="46" xfId="0" applyFill="1" applyBorder="1" applyAlignment="1">
      <alignment horizontal="left"/>
    </xf>
    <xf numFmtId="0" fontId="0" fillId="0" borderId="46" xfId="0" applyBorder="1" applyAlignment="1">
      <alignment horizontal="left"/>
    </xf>
    <xf numFmtId="0" fontId="0" fillId="15" borderId="47" xfId="0" applyFill="1" applyBorder="1" applyAlignment="1">
      <alignment horizontal="left"/>
    </xf>
    <xf numFmtId="0" fontId="3" fillId="14" borderId="22" xfId="0" applyFont="1" applyFill="1" applyBorder="1" applyAlignment="1">
      <alignment horizontal="right"/>
    </xf>
    <xf numFmtId="0" fontId="0" fillId="15" borderId="45" xfId="0" applyFill="1" applyBorder="1"/>
    <xf numFmtId="0" fontId="3" fillId="14" borderId="52" xfId="0" applyFont="1" applyFill="1" applyBorder="1" applyAlignment="1">
      <alignment horizontal="right"/>
    </xf>
    <xf numFmtId="0" fontId="0" fillId="15" borderId="7" xfId="0" applyFill="1" applyBorder="1" applyAlignment="1">
      <alignment horizontal="left"/>
    </xf>
    <xf numFmtId="0" fontId="0" fillId="15" borderId="75" xfId="0" applyFill="1" applyBorder="1" applyAlignment="1">
      <alignment horizontal="left"/>
    </xf>
    <xf numFmtId="0" fontId="3" fillId="14" borderId="19" xfId="0" applyFont="1" applyFill="1" applyBorder="1" applyAlignment="1">
      <alignment horizontal="right"/>
    </xf>
    <xf numFmtId="0" fontId="0" fillId="15" borderId="8" xfId="0" applyFill="1" applyBorder="1" applyAlignment="1">
      <alignment horizontal="center"/>
    </xf>
    <xf numFmtId="0" fontId="0" fillId="0" borderId="14" xfId="0" applyBorder="1" applyAlignment="1">
      <alignment horizontal="center"/>
    </xf>
    <xf numFmtId="42" fontId="0" fillId="15" borderId="65" xfId="0" applyNumberFormat="1" applyFill="1" applyBorder="1" applyAlignment="1">
      <alignment horizontal="center"/>
    </xf>
    <xf numFmtId="42" fontId="0" fillId="15" borderId="18" xfId="0" applyNumberFormat="1" applyFill="1" applyBorder="1" applyAlignment="1">
      <alignment horizontal="center"/>
    </xf>
    <xf numFmtId="42" fontId="0" fillId="7" borderId="5" xfId="0" applyNumberFormat="1" applyFill="1" applyBorder="1" applyAlignment="1">
      <alignment horizontal="center"/>
    </xf>
    <xf numFmtId="42" fontId="9" fillId="15" borderId="18" xfId="0" applyNumberFormat="1" applyFont="1" applyFill="1" applyBorder="1" applyAlignment="1">
      <alignment horizontal="center"/>
    </xf>
    <xf numFmtId="42" fontId="3" fillId="7" borderId="5" xfId="0" applyNumberFormat="1" applyFont="1" applyFill="1" applyBorder="1" applyAlignment="1">
      <alignment horizontal="center"/>
    </xf>
    <xf numFmtId="42" fontId="0" fillId="15" borderId="21" xfId="0" applyNumberFormat="1" applyFill="1" applyBorder="1" applyAlignment="1">
      <alignment horizontal="center"/>
    </xf>
    <xf numFmtId="0" fontId="0" fillId="3" borderId="51" xfId="0" applyFill="1" applyBorder="1" applyAlignment="1">
      <alignment horizontal="center"/>
    </xf>
    <xf numFmtId="0" fontId="0" fillId="15" borderId="76" xfId="0" applyFill="1" applyBorder="1"/>
    <xf numFmtId="42" fontId="3" fillId="14" borderId="19" xfId="0" applyNumberFormat="1"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 fillId="14" borderId="61" xfId="0" applyFont="1" applyFill="1" applyBorder="1" applyAlignment="1">
      <alignment horizontal="right"/>
    </xf>
    <xf numFmtId="42" fontId="3" fillId="15" borderId="8" xfId="0" applyNumberFormat="1" applyFont="1" applyFill="1" applyBorder="1" applyAlignment="1">
      <alignment vertical="center"/>
    </xf>
    <xf numFmtId="0" fontId="3" fillId="0" borderId="9" xfId="0" applyFont="1" applyBorder="1" applyAlignment="1">
      <alignment horizontal="right"/>
    </xf>
    <xf numFmtId="42" fontId="0" fillId="15" borderId="46" xfId="0" applyNumberFormat="1" applyFill="1" applyBorder="1" applyAlignment="1">
      <alignment horizontal="center"/>
    </xf>
    <xf numFmtId="42" fontId="0" fillId="15" borderId="76" xfId="0" applyNumberFormat="1" applyFill="1" applyBorder="1" applyAlignment="1">
      <alignment horizontal="center"/>
    </xf>
    <xf numFmtId="42" fontId="0" fillId="17" borderId="0" xfId="0" applyNumberFormat="1" applyFill="1" applyAlignment="1">
      <alignment horizontal="center"/>
    </xf>
    <xf numFmtId="0" fontId="3" fillId="22" borderId="8" xfId="0" applyFont="1" applyFill="1" applyBorder="1" applyAlignment="1">
      <alignment horizontal="right"/>
    </xf>
    <xf numFmtId="0" fontId="3" fillId="3" borderId="48" xfId="0" applyFont="1" applyFill="1" applyBorder="1" applyAlignment="1">
      <alignment horizontal="right"/>
    </xf>
    <xf numFmtId="0" fontId="3" fillId="14" borderId="70" xfId="0" applyFont="1" applyFill="1" applyBorder="1"/>
    <xf numFmtId="0" fontId="0" fillId="0" borderId="56" xfId="0" applyBorder="1" applyAlignment="1">
      <alignment horizontal="center"/>
    </xf>
    <xf numFmtId="42" fontId="0" fillId="15" borderId="45" xfId="0" applyNumberFormat="1" applyFill="1" applyBorder="1" applyAlignment="1">
      <alignment horizontal="center"/>
    </xf>
    <xf numFmtId="0" fontId="3" fillId="0" borderId="26" xfId="0" applyFont="1" applyBorder="1" applyAlignment="1">
      <alignment horizontal="right"/>
    </xf>
    <xf numFmtId="42" fontId="0" fillId="15" borderId="47" xfId="0" applyNumberFormat="1" applyFill="1" applyBorder="1" applyAlignment="1">
      <alignment horizontal="center"/>
    </xf>
    <xf numFmtId="0" fontId="0" fillId="0" borderId="26" xfId="0" applyBorder="1" applyAlignment="1">
      <alignment horizontal="left"/>
    </xf>
    <xf numFmtId="0" fontId="0" fillId="0" borderId="69" xfId="0" applyBorder="1" applyAlignment="1">
      <alignment horizontal="right"/>
    </xf>
    <xf numFmtId="0" fontId="0" fillId="0" borderId="32" xfId="0" applyBorder="1" applyAlignment="1">
      <alignment horizontal="right"/>
    </xf>
    <xf numFmtId="42" fontId="0" fillId="15" borderId="31" xfId="0" applyNumberFormat="1" applyFill="1" applyBorder="1" applyAlignment="1">
      <alignment horizontal="center"/>
    </xf>
    <xf numFmtId="42" fontId="0" fillId="15" borderId="32" xfId="0" applyNumberFormat="1" applyFill="1" applyBorder="1" applyAlignment="1">
      <alignment horizontal="center"/>
    </xf>
    <xf numFmtId="0" fontId="3" fillId="2" borderId="23" xfId="0" applyFont="1" applyFill="1" applyBorder="1" applyAlignment="1">
      <alignment horizontal="center"/>
    </xf>
    <xf numFmtId="0" fontId="3" fillId="2" borderId="77" xfId="0" applyFont="1" applyFill="1" applyBorder="1" applyAlignment="1">
      <alignment horizontal="left"/>
    </xf>
    <xf numFmtId="42" fontId="0" fillId="15" borderId="46" xfId="0" applyNumberFormat="1" applyFill="1" applyBorder="1"/>
    <xf numFmtId="0" fontId="0" fillId="0" borderId="24" xfId="0" applyBorder="1" applyAlignment="1">
      <alignment horizontal="center"/>
    </xf>
    <xf numFmtId="42" fontId="3" fillId="15" borderId="9" xfId="0" applyNumberFormat="1" applyFont="1" applyFill="1" applyBorder="1" applyAlignment="1">
      <alignment horizontal="center"/>
    </xf>
    <xf numFmtId="41" fontId="0" fillId="15" borderId="56" xfId="0" applyNumberFormat="1" applyFill="1" applyBorder="1" applyAlignment="1">
      <alignment horizontal="center" vertical="center"/>
    </xf>
    <xf numFmtId="41" fontId="0" fillId="15" borderId="54" xfId="0" applyNumberFormat="1" applyFill="1" applyBorder="1" applyAlignment="1">
      <alignment horizontal="center" vertical="center"/>
    </xf>
    <xf numFmtId="41" fontId="0" fillId="15" borderId="57" xfId="0" applyNumberFormat="1" applyFill="1" applyBorder="1" applyAlignment="1">
      <alignment horizontal="center" vertical="center"/>
    </xf>
    <xf numFmtId="0" fontId="0" fillId="17" borderId="23" xfId="0" applyFill="1" applyBorder="1" applyAlignment="1">
      <alignment vertical="center"/>
    </xf>
    <xf numFmtId="0" fontId="0" fillId="17" borderId="14" xfId="0" applyFill="1" applyBorder="1" applyAlignment="1">
      <alignment vertical="center"/>
    </xf>
    <xf numFmtId="42" fontId="0" fillId="15" borderId="56" xfId="0" applyNumberFormat="1" applyFill="1" applyBorder="1" applyAlignment="1">
      <alignment horizontal="center" vertical="center"/>
    </xf>
    <xf numFmtId="42" fontId="0" fillId="15" borderId="51" xfId="0" applyNumberFormat="1" applyFill="1" applyBorder="1" applyAlignment="1">
      <alignment horizontal="center" vertical="center"/>
    </xf>
    <xf numFmtId="42" fontId="3" fillId="3" borderId="48" xfId="0" applyNumberFormat="1" applyFont="1" applyFill="1" applyBorder="1" applyAlignment="1">
      <alignment vertical="center"/>
    </xf>
    <xf numFmtId="42" fontId="0" fillId="15" borderId="24" xfId="0" applyNumberFormat="1" applyFill="1" applyBorder="1" applyAlignment="1">
      <alignment horizontal="center" vertical="center"/>
    </xf>
    <xf numFmtId="42" fontId="0" fillId="15" borderId="16" xfId="0" applyNumberFormat="1" applyFill="1" applyBorder="1" applyAlignment="1">
      <alignment horizontal="center" vertical="center"/>
    </xf>
    <xf numFmtId="42" fontId="0" fillId="15" borderId="75" xfId="0" applyNumberFormat="1" applyFill="1" applyBorder="1" applyAlignment="1">
      <alignment horizontal="center" vertical="center"/>
    </xf>
    <xf numFmtId="42" fontId="3" fillId="3" borderId="70" xfId="0" applyNumberFormat="1" applyFont="1" applyFill="1" applyBorder="1" applyAlignment="1">
      <alignment horizontal="center" vertical="center"/>
    </xf>
    <xf numFmtId="42" fontId="0" fillId="15" borderId="47" xfId="0" applyNumberFormat="1" applyFill="1" applyBorder="1" applyAlignment="1">
      <alignment horizontal="center" vertical="center"/>
    </xf>
    <xf numFmtId="42" fontId="0" fillId="15" borderId="71" xfId="0" applyNumberFormat="1" applyFill="1" applyBorder="1" applyAlignment="1">
      <alignment horizontal="center" vertical="center"/>
    </xf>
    <xf numFmtId="42" fontId="0" fillId="15" borderId="76" xfId="0" applyNumberFormat="1" applyFill="1" applyBorder="1" applyAlignment="1">
      <alignment horizontal="center" vertical="center"/>
    </xf>
    <xf numFmtId="42" fontId="9" fillId="15" borderId="37" xfId="0" applyNumberFormat="1" applyFont="1" applyFill="1" applyBorder="1" applyAlignment="1">
      <alignment horizontal="center" vertical="center"/>
    </xf>
    <xf numFmtId="0" fontId="11" fillId="2" borderId="19" xfId="0" applyFont="1" applyFill="1" applyBorder="1" applyAlignment="1">
      <alignment horizontal="left" vertical="center"/>
    </xf>
    <xf numFmtId="0" fontId="11" fillId="2" borderId="49" xfId="0" applyFont="1" applyFill="1" applyBorder="1" applyAlignment="1">
      <alignment horizontal="left" vertical="center"/>
    </xf>
    <xf numFmtId="0" fontId="3" fillId="20" borderId="70" xfId="0" applyFont="1" applyFill="1" applyBorder="1" applyAlignment="1">
      <alignment horizontal="center" vertical="center"/>
    </xf>
    <xf numFmtId="0" fontId="3" fillId="6" borderId="70" xfId="0" applyFont="1" applyFill="1" applyBorder="1" applyAlignment="1">
      <alignment horizontal="center" vertical="center"/>
    </xf>
    <xf numFmtId="0" fontId="3" fillId="0" borderId="7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68" xfId="0" applyFont="1" applyBorder="1" applyAlignment="1">
      <alignment horizontal="center" vertical="center"/>
    </xf>
    <xf numFmtId="0" fontId="3" fillId="14" borderId="70" xfId="0" applyFont="1" applyFill="1" applyBorder="1" applyAlignment="1">
      <alignment horizontal="center" vertical="center"/>
    </xf>
    <xf numFmtId="0" fontId="3" fillId="0" borderId="75"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6" borderId="79" xfId="0" applyFont="1" applyFill="1" applyBorder="1" applyAlignment="1">
      <alignment horizontal="center" vertical="center"/>
    </xf>
    <xf numFmtId="0" fontId="3" fillId="14" borderId="7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8" xfId="0" applyFont="1" applyFill="1" applyBorder="1" applyAlignment="1">
      <alignment horizontal="center" vertical="center"/>
    </xf>
    <xf numFmtId="0" fontId="10" fillId="0" borderId="68" xfId="0" applyFont="1" applyBorder="1" applyAlignment="1">
      <alignment horizontal="center" vertical="center"/>
    </xf>
    <xf numFmtId="0" fontId="3" fillId="4" borderId="75" xfId="0" applyFont="1" applyFill="1" applyBorder="1" applyAlignment="1">
      <alignment horizontal="center" vertical="center"/>
    </xf>
    <xf numFmtId="0" fontId="10" fillId="0" borderId="75" xfId="0" applyFont="1" applyBorder="1" applyAlignment="1">
      <alignment horizontal="center" vertical="center"/>
    </xf>
    <xf numFmtId="0" fontId="61" fillId="4" borderId="75" xfId="0" applyFont="1" applyFill="1" applyBorder="1" applyAlignment="1">
      <alignment horizontal="center" vertical="center"/>
    </xf>
    <xf numFmtId="0" fontId="3" fillId="6" borderId="77" xfId="0" applyFont="1" applyFill="1" applyBorder="1" applyAlignment="1">
      <alignment horizontal="center" vertical="center"/>
    </xf>
    <xf numFmtId="0" fontId="2" fillId="14" borderId="70" xfId="0" applyFont="1" applyFill="1" applyBorder="1" applyAlignment="1">
      <alignment horizontal="center" vertical="center"/>
    </xf>
    <xf numFmtId="0" fontId="2" fillId="3" borderId="70" xfId="0" applyFont="1" applyFill="1" applyBorder="1" applyAlignment="1">
      <alignment horizontal="center" vertical="center"/>
    </xf>
    <xf numFmtId="0" fontId="10" fillId="0" borderId="7" xfId="0" applyFont="1" applyBorder="1" applyAlignment="1">
      <alignment horizontal="center" vertical="center"/>
    </xf>
    <xf numFmtId="0" fontId="3" fillId="3" borderId="70" xfId="0" applyFont="1" applyFill="1" applyBorder="1" applyAlignment="1">
      <alignment horizontal="center" vertical="center"/>
    </xf>
    <xf numFmtId="0" fontId="2" fillId="0" borderId="7" xfId="0" applyFont="1" applyBorder="1" applyAlignment="1">
      <alignment horizontal="center" vertical="center"/>
    </xf>
    <xf numFmtId="0" fontId="3" fillId="14" borderId="77" xfId="0" applyFont="1" applyFill="1" applyBorder="1" applyAlignment="1">
      <alignment horizontal="center" vertical="center"/>
    </xf>
    <xf numFmtId="0" fontId="0" fillId="0" borderId="7" xfId="0" quotePrefix="1" applyBorder="1" applyAlignment="1">
      <alignment horizontal="center" vertical="center" wrapText="1"/>
    </xf>
    <xf numFmtId="0" fontId="0" fillId="0" borderId="46" xfId="0" quotePrefix="1" applyBorder="1" applyAlignment="1">
      <alignment horizontal="center" vertical="center" wrapText="1"/>
    </xf>
    <xf numFmtId="0" fontId="11" fillId="0" borderId="7" xfId="0" applyFont="1" applyBorder="1" applyAlignment="1">
      <alignment horizontal="center" vertical="center"/>
    </xf>
    <xf numFmtId="0" fontId="11" fillId="14" borderId="70" xfId="0" applyFont="1" applyFill="1" applyBorder="1" applyAlignment="1">
      <alignment horizontal="center" vertical="center"/>
    </xf>
    <xf numFmtId="0" fontId="11" fillId="0" borderId="16" xfId="0" applyFont="1" applyBorder="1" applyAlignment="1">
      <alignment horizontal="center" vertical="center"/>
    </xf>
    <xf numFmtId="0" fontId="11" fillId="0" borderId="75" xfId="0" applyFont="1" applyBorder="1" applyAlignment="1">
      <alignment horizontal="center" vertical="center"/>
    </xf>
    <xf numFmtId="180" fontId="3" fillId="12" borderId="10" xfId="0" applyNumberFormat="1" applyFont="1" applyFill="1" applyBorder="1" applyAlignment="1">
      <alignment horizontal="center" vertical="center"/>
    </xf>
    <xf numFmtId="0" fontId="0" fillId="0" borderId="36" xfId="0" applyBorder="1" applyAlignment="1">
      <alignment vertical="center" wrapText="1"/>
    </xf>
    <xf numFmtId="44" fontId="9" fillId="15" borderId="18" xfId="0" applyNumberFormat="1" applyFont="1" applyFill="1" applyBorder="1" applyAlignment="1">
      <alignment horizontal="left" vertical="center" wrapText="1"/>
    </xf>
    <xf numFmtId="44" fontId="9" fillId="15" borderId="13" xfId="0" applyNumberFormat="1" applyFont="1" applyFill="1" applyBorder="1" applyAlignment="1">
      <alignment horizontal="left" vertical="center" wrapText="1"/>
    </xf>
    <xf numFmtId="44" fontId="9" fillId="15" borderId="65" xfId="0" applyNumberFormat="1" applyFont="1" applyFill="1" applyBorder="1" applyAlignment="1">
      <alignment horizontal="left" vertical="center" wrapText="1"/>
    </xf>
    <xf numFmtId="44" fontId="9" fillId="15" borderId="12" xfId="0" applyNumberFormat="1" applyFont="1" applyFill="1" applyBorder="1" applyAlignment="1">
      <alignment horizontal="left" vertical="center" wrapText="1"/>
    </xf>
    <xf numFmtId="44" fontId="9" fillId="15" borderId="21" xfId="0" applyNumberFormat="1" applyFont="1" applyFill="1" applyBorder="1" applyAlignment="1">
      <alignment horizontal="left" vertical="center" wrapText="1"/>
    </xf>
    <xf numFmtId="42" fontId="3" fillId="2" borderId="36" xfId="0" applyNumberFormat="1" applyFont="1" applyFill="1" applyBorder="1" applyAlignment="1">
      <alignment horizontal="center"/>
    </xf>
    <xf numFmtId="168" fontId="11" fillId="0" borderId="37" xfId="0" applyNumberFormat="1" applyFont="1" applyBorder="1" applyAlignment="1">
      <alignment horizontal="center" vertical="center"/>
    </xf>
    <xf numFmtId="42" fontId="11" fillId="0" borderId="11" xfId="0" applyNumberFormat="1" applyFont="1" applyBorder="1" applyAlignment="1">
      <alignment vertical="center"/>
    </xf>
    <xf numFmtId="42" fontId="11" fillId="0" borderId="1" xfId="0" applyNumberFormat="1" applyFont="1" applyBorder="1" applyAlignment="1">
      <alignment vertical="center"/>
    </xf>
    <xf numFmtId="42" fontId="11" fillId="0" borderId="20" xfId="0" applyNumberFormat="1" applyFont="1" applyBorder="1" applyAlignment="1">
      <alignment vertical="center" wrapText="1"/>
    </xf>
    <xf numFmtId="44" fontId="9" fillId="22" borderId="73" xfId="0" applyNumberFormat="1" applyFont="1" applyFill="1" applyBorder="1" applyAlignment="1">
      <alignment vertical="center"/>
    </xf>
    <xf numFmtId="44" fontId="9" fillId="22" borderId="11" xfId="0" applyNumberFormat="1" applyFont="1" applyFill="1" applyBorder="1" applyAlignment="1">
      <alignment vertical="center"/>
    </xf>
    <xf numFmtId="44" fontId="9" fillId="22" borderId="7" xfId="0" applyNumberFormat="1" applyFont="1" applyFill="1" applyBorder="1" applyAlignment="1">
      <alignment vertical="center"/>
    </xf>
    <xf numFmtId="44" fontId="9" fillId="22" borderId="1" xfId="0" applyNumberFormat="1" applyFont="1" applyFill="1" applyBorder="1" applyAlignment="1">
      <alignment vertical="center"/>
    </xf>
    <xf numFmtId="44" fontId="9" fillId="22" borderId="68" xfId="0" applyNumberFormat="1" applyFont="1" applyFill="1" applyBorder="1" applyAlignment="1">
      <alignment vertical="center"/>
    </xf>
    <xf numFmtId="44" fontId="9" fillId="22" borderId="20" xfId="0" applyNumberFormat="1" applyFont="1" applyFill="1" applyBorder="1" applyAlignment="1">
      <alignment vertical="center"/>
    </xf>
    <xf numFmtId="44" fontId="9" fillId="22" borderId="16" xfId="0" applyNumberFormat="1" applyFont="1" applyFill="1" applyBorder="1" applyAlignment="1">
      <alignment vertical="center"/>
    </xf>
    <xf numFmtId="44" fontId="9" fillId="22" borderId="17" xfId="0" applyNumberFormat="1" applyFont="1" applyFill="1" applyBorder="1" applyAlignment="1">
      <alignment vertical="center"/>
    </xf>
    <xf numFmtId="44" fontId="9" fillId="22" borderId="75" xfId="0" applyNumberFormat="1" applyFont="1" applyFill="1" applyBorder="1" applyAlignment="1">
      <alignment vertical="center"/>
    </xf>
    <xf numFmtId="44" fontId="9" fillId="22" borderId="6" xfId="0" applyNumberFormat="1" applyFont="1" applyFill="1" applyBorder="1" applyAlignment="1">
      <alignment vertical="center"/>
    </xf>
    <xf numFmtId="44" fontId="9" fillId="0" borderId="34" xfId="0" applyNumberFormat="1" applyFont="1" applyBorder="1" applyAlignment="1">
      <alignment vertical="center"/>
    </xf>
    <xf numFmtId="44" fontId="9" fillId="0" borderId="35" xfId="0" applyNumberFormat="1" applyFont="1" applyBorder="1" applyAlignment="1">
      <alignment vertical="center"/>
    </xf>
    <xf numFmtId="179" fontId="11" fillId="0" borderId="11" xfId="0" applyNumberFormat="1" applyFont="1" applyBorder="1" applyAlignment="1">
      <alignment horizontal="center" vertical="center"/>
    </xf>
    <xf numFmtId="179" fontId="11" fillId="0" borderId="1" xfId="0" applyNumberFormat="1" applyFont="1" applyBorder="1" applyAlignment="1">
      <alignment horizontal="center" vertical="center"/>
    </xf>
    <xf numFmtId="179" fontId="9" fillId="15" borderId="11" xfId="0" applyNumberFormat="1" applyFont="1" applyFill="1" applyBorder="1" applyAlignment="1">
      <alignment horizontal="center" vertical="center"/>
    </xf>
    <xf numFmtId="179" fontId="9" fillId="15" borderId="1" xfId="0" applyNumberFormat="1" applyFont="1" applyFill="1" applyBorder="1" applyAlignment="1">
      <alignment horizontal="center" vertical="center"/>
    </xf>
    <xf numFmtId="179" fontId="9" fillId="15" borderId="20" xfId="0" applyNumberFormat="1" applyFont="1" applyFill="1" applyBorder="1" applyAlignment="1">
      <alignment horizontal="center" vertical="center"/>
    </xf>
    <xf numFmtId="179" fontId="11" fillId="0" borderId="20" xfId="0" applyNumberFormat="1" applyFont="1" applyBorder="1" applyAlignment="1">
      <alignment horizontal="center" vertical="center"/>
    </xf>
    <xf numFmtId="44" fontId="9" fillId="22" borderId="33" xfId="0" applyNumberFormat="1" applyFont="1" applyFill="1" applyBorder="1" applyAlignment="1">
      <alignment vertical="center"/>
    </xf>
    <xf numFmtId="44" fontId="9" fillId="22" borderId="12" xfId="0" applyNumberFormat="1" applyFont="1" applyFill="1" applyBorder="1" applyAlignment="1">
      <alignment vertical="center"/>
    </xf>
    <xf numFmtId="44" fontId="9" fillId="22" borderId="43" xfId="0" applyNumberFormat="1" applyFont="1" applyFill="1" applyBorder="1" applyAlignment="1">
      <alignment vertical="center"/>
    </xf>
    <xf numFmtId="44" fontId="9" fillId="22" borderId="18" xfId="0" applyNumberFormat="1" applyFont="1" applyFill="1" applyBorder="1" applyAlignment="1">
      <alignment vertical="center"/>
    </xf>
    <xf numFmtId="44" fontId="84" fillId="0" borderId="17" xfId="0" applyNumberFormat="1" applyFont="1" applyBorder="1" applyAlignment="1">
      <alignment vertical="center"/>
    </xf>
    <xf numFmtId="44" fontId="84" fillId="0" borderId="1" xfId="0" applyNumberFormat="1" applyFont="1" applyBorder="1" applyAlignment="1">
      <alignment vertical="center"/>
    </xf>
    <xf numFmtId="44" fontId="84" fillId="0" borderId="20" xfId="0" applyNumberFormat="1" applyFont="1" applyBorder="1" applyAlignment="1">
      <alignment vertical="center" wrapText="1"/>
    </xf>
    <xf numFmtId="10" fontId="0" fillId="0" borderId="5" xfId="0" applyNumberFormat="1" applyBorder="1" applyAlignment="1">
      <alignment horizontal="center" vertical="center"/>
    </xf>
    <xf numFmtId="10" fontId="0" fillId="22" borderId="38" xfId="0" applyNumberFormat="1" applyFill="1" applyBorder="1" applyAlignment="1">
      <alignment horizontal="center" vertical="center"/>
    </xf>
    <xf numFmtId="10" fontId="0" fillId="22" borderId="37" xfId="0" applyNumberFormat="1" applyFill="1" applyBorder="1" applyAlignment="1">
      <alignment horizontal="center" vertical="center"/>
    </xf>
    <xf numFmtId="10" fontId="0" fillId="22" borderId="39" xfId="0" applyNumberFormat="1" applyFill="1" applyBorder="1" applyAlignment="1">
      <alignment horizontal="center" vertical="center"/>
    </xf>
    <xf numFmtId="44" fontId="84" fillId="0" borderId="17" xfId="0" applyNumberFormat="1" applyFont="1" applyBorder="1" applyAlignment="1">
      <alignment vertical="center" wrapText="1"/>
    </xf>
    <xf numFmtId="168" fontId="84" fillId="0" borderId="41" xfId="0" applyNumberFormat="1" applyFont="1" applyBorder="1" applyAlignment="1">
      <alignment horizontal="center" vertical="center"/>
    </xf>
    <xf numFmtId="44" fontId="84" fillId="0" borderId="1" xfId="0" applyNumberFormat="1" applyFont="1" applyBorder="1" applyAlignment="1">
      <alignment vertical="center" wrapText="1"/>
    </xf>
    <xf numFmtId="168" fontId="84" fillId="0" borderId="37" xfId="0" applyNumberFormat="1" applyFont="1" applyBorder="1" applyAlignment="1">
      <alignment horizontal="center" vertical="center"/>
    </xf>
    <xf numFmtId="168" fontId="84" fillId="0" borderId="39" xfId="0" applyNumberFormat="1" applyFont="1" applyBorder="1" applyAlignment="1">
      <alignment horizontal="center" vertical="center"/>
    </xf>
    <xf numFmtId="10" fontId="9" fillId="15" borderId="11" xfId="0" applyNumberFormat="1" applyFont="1" applyFill="1" applyBorder="1" applyAlignment="1">
      <alignment horizontal="center" vertical="center"/>
    </xf>
    <xf numFmtId="10" fontId="9" fillId="15" borderId="1" xfId="0" applyNumberFormat="1" applyFont="1" applyFill="1" applyBorder="1" applyAlignment="1">
      <alignment horizontal="center" vertical="center"/>
    </xf>
    <xf numFmtId="10" fontId="9" fillId="15" borderId="20" xfId="0" applyNumberFormat="1" applyFont="1" applyFill="1" applyBorder="1" applyAlignment="1">
      <alignment horizontal="center" vertical="center"/>
    </xf>
    <xf numFmtId="42" fontId="0" fillId="15" borderId="75" xfId="0" applyNumberFormat="1" applyFill="1" applyBorder="1" applyAlignment="1">
      <alignment horizontal="center"/>
    </xf>
    <xf numFmtId="42" fontId="3" fillId="2" borderId="70" xfId="0" applyNumberFormat="1" applyFont="1" applyFill="1" applyBorder="1" applyAlignment="1">
      <alignment horizontal="center"/>
    </xf>
    <xf numFmtId="0" fontId="11" fillId="2" borderId="19" xfId="0" applyFont="1" applyFill="1" applyBorder="1" applyAlignment="1">
      <alignment horizontal="centerContinuous" vertical="center"/>
    </xf>
    <xf numFmtId="0" fontId="11" fillId="2" borderId="48" xfId="0" applyFont="1" applyFill="1" applyBorder="1" applyAlignment="1">
      <alignment horizontal="center" vertical="center"/>
    </xf>
    <xf numFmtId="0" fontId="11" fillId="2" borderId="48" xfId="0" applyFont="1" applyFill="1" applyBorder="1" applyAlignment="1">
      <alignment horizontal="left" vertical="center"/>
    </xf>
    <xf numFmtId="0" fontId="14" fillId="0" borderId="59" xfId="0" applyFont="1" applyBorder="1" applyAlignment="1">
      <alignment horizontal="left" vertical="center" indent="1"/>
    </xf>
    <xf numFmtId="0" fontId="9" fillId="0" borderId="3" xfId="0" applyFont="1" applyBorder="1" applyAlignment="1">
      <alignment horizontal="left" vertical="center" indent="1"/>
    </xf>
    <xf numFmtId="0" fontId="9" fillId="0" borderId="53" xfId="0" applyFont="1" applyBorder="1" applyAlignment="1">
      <alignment horizontal="center" vertical="center"/>
    </xf>
    <xf numFmtId="44" fontId="9" fillId="0" borderId="64" xfId="0" applyNumberFormat="1" applyFont="1" applyBorder="1" applyAlignment="1">
      <alignment horizontal="left" vertical="center"/>
    </xf>
    <xf numFmtId="44" fontId="9" fillId="0" borderId="33" xfId="0" applyNumberFormat="1" applyFont="1" applyBorder="1" applyAlignment="1">
      <alignment horizontal="left" vertical="center"/>
    </xf>
    <xf numFmtId="0" fontId="9" fillId="0" borderId="1" xfId="0" applyFont="1" applyBorder="1" applyAlignment="1">
      <alignment horizontal="right" vertical="center" wrapText="1"/>
    </xf>
    <xf numFmtId="42" fontId="10" fillId="17" borderId="47" xfId="0" applyNumberFormat="1" applyFont="1" applyFill="1" applyBorder="1" applyAlignment="1">
      <alignment horizontal="center" vertical="center"/>
    </xf>
    <xf numFmtId="42" fontId="10" fillId="17" borderId="26" xfId="0" applyNumberFormat="1" applyFont="1" applyFill="1" applyBorder="1" applyAlignment="1">
      <alignment horizontal="center" vertical="center"/>
    </xf>
    <xf numFmtId="0" fontId="3" fillId="0" borderId="36" xfId="0" applyFont="1" applyBorder="1" applyAlignment="1">
      <alignment horizontal="center" vertical="center"/>
    </xf>
    <xf numFmtId="44" fontId="11" fillId="2" borderId="28" xfId="0" applyNumberFormat="1" applyFont="1" applyFill="1" applyBorder="1" applyAlignment="1">
      <alignment horizontal="center" vertical="center"/>
    </xf>
    <xf numFmtId="44" fontId="9" fillId="15" borderId="69" xfId="0" applyNumberFormat="1" applyFont="1" applyFill="1" applyBorder="1" applyAlignment="1">
      <alignment horizontal="center" vertical="center"/>
    </xf>
    <xf numFmtId="44" fontId="11" fillId="2" borderId="36" xfId="0" applyNumberFormat="1" applyFont="1" applyFill="1" applyBorder="1" applyAlignment="1">
      <alignment horizontal="center" vertical="center"/>
    </xf>
    <xf numFmtId="44" fontId="84" fillId="0" borderId="42" xfId="0" applyNumberFormat="1" applyFont="1" applyBorder="1" applyAlignment="1">
      <alignment horizontal="left" vertical="center"/>
    </xf>
    <xf numFmtId="44" fontId="9" fillId="0" borderId="57" xfId="0" applyNumberFormat="1" applyFont="1" applyBorder="1" applyAlignment="1">
      <alignment horizontal="left" vertical="center"/>
    </xf>
    <xf numFmtId="0" fontId="3" fillId="2" borderId="48" xfId="0" applyFont="1" applyFill="1" applyBorder="1" applyAlignment="1">
      <alignment horizontal="centerContinuous" vertical="center"/>
    </xf>
    <xf numFmtId="0" fontId="3" fillId="2" borderId="28" xfId="0" applyFont="1" applyFill="1" applyBorder="1" applyAlignment="1">
      <alignment horizontal="centerContinuous" vertical="center"/>
    </xf>
    <xf numFmtId="44" fontId="84" fillId="0" borderId="38" xfId="0" applyNumberFormat="1" applyFont="1" applyBorder="1" applyAlignment="1">
      <alignment horizontal="left" vertical="center"/>
    </xf>
    <xf numFmtId="44" fontId="84" fillId="0" borderId="47" xfId="0" applyNumberFormat="1" applyFont="1" applyBorder="1" applyAlignment="1">
      <alignment horizontal="left" vertical="center"/>
    </xf>
    <xf numFmtId="0" fontId="3" fillId="2" borderId="49" xfId="0" applyFont="1" applyFill="1" applyBorder="1" applyAlignment="1">
      <alignment horizontal="centerContinuous" vertical="center"/>
    </xf>
    <xf numFmtId="0" fontId="3" fillId="2" borderId="50" xfId="0" applyFont="1" applyFill="1" applyBorder="1" applyAlignment="1">
      <alignment horizontal="centerContinuous" vertical="center"/>
    </xf>
    <xf numFmtId="44" fontId="9" fillId="15" borderId="33" xfId="0" applyNumberFormat="1" applyFont="1" applyFill="1" applyBorder="1" applyAlignment="1">
      <alignment horizontal="center" vertical="center"/>
    </xf>
    <xf numFmtId="44" fontId="9" fillId="15" borderId="31" xfId="0" applyNumberFormat="1" applyFont="1" applyFill="1" applyBorder="1" applyAlignment="1">
      <alignment horizontal="center" vertical="center"/>
    </xf>
    <xf numFmtId="44" fontId="9" fillId="15" borderId="29" xfId="0" applyNumberFormat="1" applyFont="1" applyFill="1" applyBorder="1" applyAlignment="1">
      <alignment horizontal="center" vertical="center"/>
    </xf>
    <xf numFmtId="42" fontId="0" fillId="15" borderId="31" xfId="0" applyNumberFormat="1" applyFill="1" applyBorder="1" applyAlignment="1">
      <alignment horizontal="center" vertical="center"/>
    </xf>
    <xf numFmtId="168" fontId="9" fillId="0" borderId="15" xfId="0" applyNumberFormat="1" applyFont="1" applyBorder="1" applyAlignment="1">
      <alignment horizontal="left" vertical="center"/>
    </xf>
    <xf numFmtId="168" fontId="9" fillId="0" borderId="9" xfId="0" applyNumberFormat="1" applyFont="1" applyBorder="1" applyAlignment="1">
      <alignment horizontal="left" vertical="center"/>
    </xf>
    <xf numFmtId="168" fontId="9" fillId="0" borderId="26" xfId="0" applyNumberFormat="1" applyFont="1" applyBorder="1" applyAlignment="1">
      <alignment horizontal="left" vertical="center"/>
    </xf>
    <xf numFmtId="0" fontId="3" fillId="0" borderId="33" xfId="0" applyFont="1" applyBorder="1" applyAlignment="1">
      <alignment horizontal="center" vertical="center"/>
    </xf>
    <xf numFmtId="0" fontId="0" fillId="0" borderId="69" xfId="0" applyBorder="1" applyAlignment="1">
      <alignment horizontal="centerContinuous" vertical="center"/>
    </xf>
    <xf numFmtId="0" fontId="0" fillId="0" borderId="71" xfId="0" applyBorder="1" applyAlignment="1">
      <alignment horizontal="centerContinuous" vertical="center"/>
    </xf>
    <xf numFmtId="0" fontId="0" fillId="0" borderId="53" xfId="0" applyBorder="1" applyAlignment="1">
      <alignment horizontal="centerContinuous" vertical="top"/>
    </xf>
    <xf numFmtId="0" fontId="0" fillId="0" borderId="69" xfId="0" applyBorder="1" applyAlignment="1">
      <alignment horizontal="centerContinuous" vertical="top"/>
    </xf>
    <xf numFmtId="0" fontId="3" fillId="2" borderId="19" xfId="0" applyFont="1" applyFill="1" applyBorder="1" applyAlignment="1">
      <alignment horizontal="centerContinuous" vertical="center"/>
    </xf>
    <xf numFmtId="0" fontId="3" fillId="2" borderId="28" xfId="0" applyFont="1" applyFill="1" applyBorder="1" applyAlignment="1">
      <alignment horizontal="centerContinuous" vertical="top"/>
    </xf>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21" xfId="0" applyNumberFormat="1" applyBorder="1" applyAlignment="1">
      <alignment horizontal="center" vertical="center"/>
    </xf>
    <xf numFmtId="0" fontId="25" fillId="0" borderId="17" xfId="0" applyFont="1" applyBorder="1" applyAlignment="1">
      <alignment vertical="center" wrapText="1"/>
    </xf>
    <xf numFmtId="42" fontId="11" fillId="17" borderId="71" xfId="0" applyNumberFormat="1" applyFont="1" applyFill="1" applyBorder="1" applyAlignment="1">
      <alignment horizontal="center" vertical="center"/>
    </xf>
    <xf numFmtId="42" fontId="11" fillId="17" borderId="69" xfId="0" applyNumberFormat="1" applyFont="1" applyFill="1" applyBorder="1" applyAlignment="1">
      <alignment horizontal="center" vertical="center"/>
    </xf>
    <xf numFmtId="42" fontId="29" fillId="3" borderId="5" xfId="0" applyNumberFormat="1" applyFont="1" applyFill="1" applyBorder="1" applyAlignment="1">
      <alignment horizontal="center"/>
    </xf>
    <xf numFmtId="42" fontId="0" fillId="15" borderId="73" xfId="0" applyNumberFormat="1" applyFill="1" applyBorder="1" applyAlignment="1">
      <alignment horizontal="center"/>
    </xf>
    <xf numFmtId="42" fontId="0" fillId="15" borderId="7" xfId="0" applyNumberFormat="1" applyFill="1" applyBorder="1" applyAlignment="1">
      <alignment horizontal="center"/>
    </xf>
    <xf numFmtId="42" fontId="3" fillId="7" borderId="70" xfId="0" applyNumberFormat="1" applyFont="1" applyFill="1" applyBorder="1" applyAlignment="1">
      <alignment horizontal="center"/>
    </xf>
    <xf numFmtId="42" fontId="9" fillId="15" borderId="16" xfId="0" applyNumberFormat="1" applyFont="1" applyFill="1" applyBorder="1" applyAlignment="1">
      <alignment horizontal="center"/>
    </xf>
    <xf numFmtId="42" fontId="0" fillId="7" borderId="70" xfId="0" applyNumberFormat="1" applyFill="1" applyBorder="1" applyAlignment="1">
      <alignment horizontal="center"/>
    </xf>
    <xf numFmtId="42" fontId="0" fillId="15" borderId="16" xfId="0" applyNumberFormat="1" applyFill="1" applyBorder="1" applyAlignment="1">
      <alignment horizontal="center"/>
    </xf>
    <xf numFmtId="42" fontId="0" fillId="15" borderId="68" xfId="0" applyNumberFormat="1" applyFill="1" applyBorder="1" applyAlignment="1">
      <alignment horizontal="center"/>
    </xf>
    <xf numFmtId="42" fontId="0" fillId="15" borderId="33" xfId="0" applyNumberFormat="1" applyFill="1" applyBorder="1" applyAlignment="1">
      <alignment horizontal="center"/>
    </xf>
    <xf numFmtId="42" fontId="0" fillId="15" borderId="34" xfId="0" applyNumberFormat="1" applyFill="1" applyBorder="1" applyAlignment="1">
      <alignment horizontal="center"/>
    </xf>
    <xf numFmtId="42" fontId="0" fillId="15" borderId="64" xfId="0" applyNumberFormat="1" applyFill="1" applyBorder="1" applyAlignment="1">
      <alignment horizontal="center"/>
    </xf>
    <xf numFmtId="42" fontId="3" fillId="7" borderId="36" xfId="0" applyNumberFormat="1" applyFont="1" applyFill="1" applyBorder="1" applyAlignment="1">
      <alignment horizontal="center"/>
    </xf>
    <xf numFmtId="42" fontId="9" fillId="15" borderId="43" xfId="0" applyNumberFormat="1" applyFont="1" applyFill="1" applyBorder="1" applyAlignment="1">
      <alignment horizontal="center"/>
    </xf>
    <xf numFmtId="42" fontId="11" fillId="7" borderId="5" xfId="0" applyNumberFormat="1" applyFont="1" applyFill="1" applyBorder="1" applyAlignment="1">
      <alignment horizontal="center"/>
    </xf>
    <xf numFmtId="42" fontId="9" fillId="15" borderId="13" xfId="0" applyNumberFormat="1" applyFont="1" applyFill="1" applyBorder="1" applyAlignment="1">
      <alignment horizontal="center"/>
    </xf>
    <xf numFmtId="42" fontId="0" fillId="7" borderId="36" xfId="0" applyNumberFormat="1" applyFill="1" applyBorder="1" applyAlignment="1">
      <alignment horizontal="center"/>
    </xf>
    <xf numFmtId="42" fontId="0" fillId="15" borderId="43" xfId="0" applyNumberFormat="1" applyFill="1" applyBorder="1" applyAlignment="1">
      <alignment horizontal="center"/>
    </xf>
    <xf numFmtId="42" fontId="0" fillId="15" borderId="35" xfId="0" applyNumberFormat="1" applyFill="1" applyBorder="1" applyAlignment="1">
      <alignment horizontal="center"/>
    </xf>
    <xf numFmtId="0" fontId="3" fillId="2" borderId="28" xfId="0" applyFont="1" applyFill="1" applyBorder="1" applyAlignment="1">
      <alignment horizontal="center" vertical="center"/>
    </xf>
    <xf numFmtId="1" fontId="0" fillId="15" borderId="8" xfId="0" applyNumberFormat="1" applyFill="1" applyBorder="1" applyAlignment="1">
      <alignment horizontal="center" vertical="center"/>
    </xf>
    <xf numFmtId="1" fontId="3" fillId="3" borderId="8" xfId="0" applyNumberFormat="1" applyFont="1" applyFill="1" applyBorder="1" applyAlignment="1">
      <alignment horizontal="center" vertical="center"/>
    </xf>
    <xf numFmtId="1" fontId="0" fillId="15" borderId="24" xfId="0" applyNumberFormat="1" applyFill="1" applyBorder="1" applyAlignment="1">
      <alignment horizontal="center" vertical="center"/>
    </xf>
    <xf numFmtId="0" fontId="0" fillId="15" borderId="24" xfId="0" applyFill="1" applyBorder="1" applyAlignment="1">
      <alignment horizontal="center"/>
    </xf>
    <xf numFmtId="0" fontId="9" fillId="0" borderId="46" xfId="0" applyFont="1" applyBorder="1" applyAlignment="1">
      <alignment horizontal="center"/>
    </xf>
    <xf numFmtId="44" fontId="3" fillId="3" borderId="48" xfId="0" applyNumberFormat="1" applyFont="1" applyFill="1" applyBorder="1" applyAlignment="1">
      <alignment horizontal="left" vertical="center"/>
    </xf>
    <xf numFmtId="0" fontId="9" fillId="3" borderId="19" xfId="0" applyFont="1" applyFill="1" applyBorder="1" applyAlignment="1">
      <alignment horizontal="center"/>
    </xf>
    <xf numFmtId="0" fontId="9" fillId="0" borderId="45" xfId="0" applyFont="1" applyBorder="1" applyAlignment="1">
      <alignment horizontal="center"/>
    </xf>
    <xf numFmtId="44" fontId="3" fillId="0" borderId="57" xfId="0" applyNumberFormat="1" applyFont="1" applyBorder="1" applyAlignment="1">
      <alignment horizontal="center" vertical="center"/>
    </xf>
    <xf numFmtId="0" fontId="9" fillId="0" borderId="47" xfId="0" applyFont="1" applyBorder="1" applyAlignment="1">
      <alignment horizontal="center"/>
    </xf>
    <xf numFmtId="0" fontId="11" fillId="3" borderId="70" xfId="0" applyFont="1" applyFill="1" applyBorder="1" applyAlignment="1">
      <alignment horizontal="right"/>
    </xf>
    <xf numFmtId="0" fontId="9" fillId="0" borderId="58" xfId="0" applyFont="1" applyBorder="1" applyAlignment="1">
      <alignment horizontal="right"/>
    </xf>
    <xf numFmtId="44" fontId="9" fillId="0" borderId="31" xfId="0" applyNumberFormat="1" applyFont="1" applyBorder="1" applyAlignment="1">
      <alignment horizontal="right"/>
    </xf>
    <xf numFmtId="44" fontId="9" fillId="0" borderId="32" xfId="0" applyNumberFormat="1" applyFont="1" applyBorder="1" applyAlignment="1">
      <alignment horizontal="right"/>
    </xf>
    <xf numFmtId="0" fontId="9" fillId="0" borderId="32" xfId="0" applyFont="1" applyBorder="1" applyAlignment="1">
      <alignment horizontal="right"/>
    </xf>
    <xf numFmtId="44" fontId="3" fillId="0" borderId="56" xfId="0" applyNumberFormat="1" applyFont="1" applyBorder="1" applyAlignment="1">
      <alignment horizontal="left" vertical="center"/>
    </xf>
    <xf numFmtId="0" fontId="9" fillId="0" borderId="31" xfId="0" applyFont="1" applyBorder="1" applyAlignment="1">
      <alignment horizontal="right"/>
    </xf>
    <xf numFmtId="44" fontId="3" fillId="0" borderId="54" xfId="0" applyNumberFormat="1" applyFont="1" applyBorder="1" applyAlignment="1">
      <alignment horizontal="left" vertical="center"/>
    </xf>
    <xf numFmtId="44" fontId="3" fillId="0" borderId="57" xfId="0" applyNumberFormat="1" applyFont="1" applyBorder="1" applyAlignment="1">
      <alignment horizontal="left" vertical="center"/>
    </xf>
    <xf numFmtId="0" fontId="11" fillId="2" borderId="70" xfId="0" applyFont="1" applyFill="1" applyBorder="1" applyAlignment="1">
      <alignment horizontal="center" vertical="center" wrapText="1"/>
    </xf>
    <xf numFmtId="42" fontId="9" fillId="10" borderId="33" xfId="0" applyNumberFormat="1" applyFont="1" applyFill="1" applyBorder="1" applyAlignment="1">
      <alignment horizontal="center"/>
    </xf>
    <xf numFmtId="42" fontId="9" fillId="10" borderId="34" xfId="0" applyNumberFormat="1" applyFont="1" applyFill="1" applyBorder="1" applyAlignment="1">
      <alignment horizontal="center"/>
    </xf>
    <xf numFmtId="42" fontId="9" fillId="10" borderId="64" xfId="0" applyNumberFormat="1" applyFont="1" applyFill="1" applyBorder="1" applyAlignment="1">
      <alignment horizontal="center"/>
    </xf>
    <xf numFmtId="14" fontId="3" fillId="15" borderId="8" xfId="0" applyNumberFormat="1" applyFont="1" applyFill="1" applyBorder="1" applyAlignment="1">
      <alignment horizontal="center" vertical="center"/>
    </xf>
    <xf numFmtId="14" fontId="3" fillId="15" borderId="9" xfId="0" applyNumberFormat="1" applyFont="1" applyFill="1" applyBorder="1" applyAlignment="1">
      <alignment horizontal="center" vertical="center"/>
    </xf>
    <xf numFmtId="14" fontId="3" fillId="15" borderId="26" xfId="0" applyNumberFormat="1" applyFont="1" applyFill="1" applyBorder="1" applyAlignment="1">
      <alignment horizontal="center" vertical="center"/>
    </xf>
    <xf numFmtId="42" fontId="9" fillId="10" borderId="37" xfId="0" applyNumberFormat="1" applyFont="1" applyFill="1" applyBorder="1" applyAlignment="1">
      <alignment horizontal="center"/>
    </xf>
    <xf numFmtId="42" fontId="9" fillId="10" borderId="42" xfId="0" applyNumberFormat="1" applyFont="1" applyFill="1" applyBorder="1" applyAlignment="1">
      <alignment horizontal="center"/>
    </xf>
    <xf numFmtId="42" fontId="9" fillId="10" borderId="38" xfId="0" applyNumberFormat="1" applyFont="1" applyFill="1" applyBorder="1" applyAlignment="1">
      <alignment horizontal="center"/>
    </xf>
    <xf numFmtId="0" fontId="3" fillId="3" borderId="19" xfId="0" applyFont="1" applyFill="1" applyBorder="1" applyAlignment="1">
      <alignment horizontal="right"/>
    </xf>
    <xf numFmtId="0" fontId="0" fillId="15" borderId="69" xfId="0" applyFill="1" applyBorder="1" applyAlignment="1">
      <alignment horizontal="center"/>
    </xf>
    <xf numFmtId="0" fontId="0" fillId="15" borderId="58" xfId="0" applyFill="1" applyBorder="1" applyAlignment="1">
      <alignment horizontal="center"/>
    </xf>
    <xf numFmtId="0" fontId="0" fillId="15" borderId="32" xfId="0" applyFill="1" applyBorder="1" applyAlignment="1">
      <alignment horizontal="center"/>
    </xf>
    <xf numFmtId="6" fontId="47" fillId="10" borderId="23" xfId="1" applyNumberFormat="1" applyFont="1" applyFill="1" applyBorder="1" applyAlignment="1">
      <alignment horizontal="center" vertical="top"/>
    </xf>
    <xf numFmtId="6" fontId="9" fillId="10" borderId="3" xfId="1" applyNumberFormat="1" applyFont="1" applyFill="1" applyBorder="1" applyAlignment="1">
      <alignment horizontal="center" vertical="top"/>
    </xf>
    <xf numFmtId="6" fontId="9" fillId="10" borderId="28" xfId="1" applyNumberFormat="1" applyFont="1" applyFill="1" applyBorder="1" applyAlignment="1">
      <alignment horizontal="center" vertical="top"/>
    </xf>
    <xf numFmtId="6" fontId="9" fillId="10" borderId="15" xfId="1" applyNumberFormat="1" applyFont="1" applyFill="1" applyBorder="1" applyAlignment="1">
      <alignment horizontal="center" vertical="top"/>
    </xf>
    <xf numFmtId="6" fontId="9" fillId="0" borderId="0" xfId="1" applyNumberFormat="1" applyFont="1" applyAlignment="1">
      <alignment horizontal="left" vertical="top"/>
    </xf>
    <xf numFmtId="6" fontId="9" fillId="10" borderId="9" xfId="1" applyNumberFormat="1" applyFont="1" applyFill="1" applyBorder="1" applyAlignment="1">
      <alignment horizontal="center" vertical="top"/>
    </xf>
    <xf numFmtId="6" fontId="9" fillId="10" borderId="10" xfId="1" applyNumberFormat="1" applyFont="1" applyFill="1" applyBorder="1" applyAlignment="1">
      <alignment horizontal="center" vertical="top"/>
    </xf>
    <xf numFmtId="0" fontId="0" fillId="0" borderId="73" xfId="0" quotePrefix="1" applyBorder="1" applyAlignment="1">
      <alignment wrapText="1"/>
    </xf>
    <xf numFmtId="0" fontId="0" fillId="0" borderId="21" xfId="0" applyBorder="1" applyAlignment="1">
      <alignment vertical="center" wrapText="1"/>
    </xf>
    <xf numFmtId="0" fontId="0" fillId="0" borderId="73" xfId="0" applyBorder="1" applyAlignment="1">
      <alignment vertical="center" wrapText="1"/>
    </xf>
    <xf numFmtId="0" fontId="0" fillId="0" borderId="68" xfId="0" quotePrefix="1" applyBorder="1" applyAlignment="1">
      <alignment wrapText="1"/>
    </xf>
    <xf numFmtId="0" fontId="29" fillId="6" borderId="48" xfId="0" applyFont="1" applyFill="1" applyBorder="1"/>
    <xf numFmtId="0" fontId="36" fillId="20" borderId="28" xfId="0" applyFont="1" applyFill="1" applyBorder="1" applyAlignment="1">
      <alignment horizontal="center"/>
    </xf>
    <xf numFmtId="0" fontId="3" fillId="2" borderId="62" xfId="0" applyFont="1" applyFill="1" applyBorder="1" applyAlignment="1">
      <alignment horizontal="center" vertical="center"/>
    </xf>
    <xf numFmtId="0" fontId="3" fillId="2" borderId="77" xfId="0" applyFont="1" applyFill="1" applyBorder="1" applyAlignment="1">
      <alignment horizontal="center" vertical="center"/>
    </xf>
    <xf numFmtId="0" fontId="3" fillId="3" borderId="14" xfId="0" applyFont="1" applyFill="1" applyBorder="1" applyAlignment="1">
      <alignment horizontal="center"/>
    </xf>
    <xf numFmtId="0" fontId="11" fillId="14" borderId="48" xfId="0" applyFont="1" applyFill="1" applyBorder="1" applyAlignment="1">
      <alignment horizontal="left" vertical="center"/>
    </xf>
    <xf numFmtId="167" fontId="3" fillId="2" borderId="14" xfId="0" applyNumberFormat="1" applyFont="1" applyFill="1" applyBorder="1" applyAlignment="1">
      <alignment horizontal="center" vertical="center"/>
    </xf>
    <xf numFmtId="9" fontId="0" fillId="10" borderId="15" xfId="0" applyNumberFormat="1" applyFill="1" applyBorder="1" applyAlignment="1">
      <alignment horizontal="center"/>
    </xf>
    <xf numFmtId="9" fontId="0" fillId="10" borderId="9" xfId="0" applyNumberFormat="1" applyFill="1" applyBorder="1" applyAlignment="1">
      <alignment horizontal="center"/>
    </xf>
    <xf numFmtId="9" fontId="0" fillId="10" borderId="26" xfId="0" applyNumberFormat="1" applyFill="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3" fillId="0" borderId="26" xfId="0" quotePrefix="1" applyFont="1" applyBorder="1" applyAlignment="1">
      <alignment horizontal="center"/>
    </xf>
    <xf numFmtId="0" fontId="3" fillId="16" borderId="61" xfId="0" applyFont="1" applyFill="1" applyBorder="1" applyAlignment="1">
      <alignment vertical="center" wrapText="1"/>
    </xf>
    <xf numFmtId="0" fontId="3" fillId="16" borderId="77" xfId="0" applyFont="1" applyFill="1" applyBorder="1" applyAlignment="1">
      <alignment horizontal="center" vertical="center"/>
    </xf>
    <xf numFmtId="0" fontId="3" fillId="16" borderId="66" xfId="0" applyFont="1" applyFill="1" applyBorder="1" applyAlignment="1">
      <alignment horizontal="center" vertical="center"/>
    </xf>
    <xf numFmtId="0" fontId="0" fillId="0" borderId="0" xfId="0" applyAlignment="1">
      <alignment wrapText="1"/>
    </xf>
    <xf numFmtId="0" fontId="0" fillId="0" borderId="76" xfId="0" applyBorder="1" applyAlignment="1">
      <alignment horizontal="right"/>
    </xf>
    <xf numFmtId="42" fontId="0" fillId="10" borderId="71" xfId="0" applyNumberFormat="1" applyFill="1" applyBorder="1"/>
    <xf numFmtId="42" fontId="0" fillId="10" borderId="46" xfId="0" applyNumberFormat="1" applyFill="1" applyBorder="1"/>
    <xf numFmtId="42" fontId="0" fillId="10" borderId="76" xfId="0" applyNumberFormat="1" applyFill="1" applyBorder="1"/>
    <xf numFmtId="42" fontId="0" fillId="10" borderId="43" xfId="0" applyNumberFormat="1" applyFill="1" applyBorder="1"/>
    <xf numFmtId="42" fontId="0" fillId="10" borderId="69" xfId="0" applyNumberFormat="1" applyFill="1" applyBorder="1"/>
    <xf numFmtId="42" fontId="0" fillId="10" borderId="34" xfId="0" applyNumberFormat="1" applyFill="1" applyBorder="1"/>
    <xf numFmtId="42" fontId="0" fillId="10" borderId="58" xfId="0" applyNumberFormat="1" applyFill="1" applyBorder="1"/>
    <xf numFmtId="42" fontId="0" fillId="10" borderId="35" xfId="0" applyNumberFormat="1" applyFill="1" applyBorder="1"/>
    <xf numFmtId="42" fontId="0" fillId="10" borderId="32" xfId="0" applyNumberFormat="1" applyFill="1" applyBorder="1"/>
    <xf numFmtId="0" fontId="3" fillId="0" borderId="9" xfId="0" applyFont="1" applyBorder="1" applyAlignment="1">
      <alignment horizontal="center"/>
    </xf>
    <xf numFmtId="0" fontId="3" fillId="0" borderId="10" xfId="0" applyFont="1" applyBorder="1" applyAlignment="1">
      <alignment horizontal="center"/>
    </xf>
    <xf numFmtId="42" fontId="0" fillId="17" borderId="76" xfId="0" applyNumberFormat="1" applyFill="1" applyBorder="1" applyAlignment="1">
      <alignment horizontal="center"/>
    </xf>
    <xf numFmtId="0" fontId="0" fillId="15" borderId="33" xfId="0" quotePrefix="1" applyFill="1" applyBorder="1" applyAlignment="1">
      <alignment horizontal="center"/>
    </xf>
    <xf numFmtId="42" fontId="3" fillId="14" borderId="63" xfId="0" applyNumberFormat="1" applyFont="1" applyFill="1" applyBorder="1" applyAlignment="1">
      <alignment horizontal="center"/>
    </xf>
    <xf numFmtId="0" fontId="2" fillId="2" borderId="19" xfId="0" applyFont="1" applyFill="1" applyBorder="1" applyAlignment="1">
      <alignment horizontal="center"/>
    </xf>
    <xf numFmtId="0" fontId="0" fillId="0" borderId="46" xfId="0" applyBorder="1" applyAlignment="1">
      <alignment horizontal="right"/>
    </xf>
    <xf numFmtId="0" fontId="0" fillId="0" borderId="45" xfId="0" applyBorder="1" applyAlignment="1">
      <alignment horizontal="right"/>
    </xf>
    <xf numFmtId="0" fontId="3" fillId="2" borderId="8" xfId="0" applyFont="1" applyFill="1" applyBorder="1" applyAlignment="1">
      <alignment horizontal="center"/>
    </xf>
    <xf numFmtId="0" fontId="0" fillId="15" borderId="45" xfId="0" applyFill="1" applyBorder="1" applyAlignment="1">
      <alignment horizontal="right"/>
    </xf>
    <xf numFmtId="0" fontId="0" fillId="15" borderId="47" xfId="0" applyFill="1" applyBorder="1" applyAlignment="1">
      <alignment horizontal="right"/>
    </xf>
    <xf numFmtId="0" fontId="0" fillId="0" borderId="65" xfId="0" applyBorder="1"/>
    <xf numFmtId="0" fontId="0" fillId="0" borderId="75" xfId="0" quotePrefix="1" applyBorder="1" applyAlignment="1">
      <alignment wrapText="1"/>
    </xf>
    <xf numFmtId="0" fontId="11" fillId="22" borderId="60" xfId="0" applyFont="1" applyFill="1" applyBorder="1" applyAlignment="1">
      <alignment horizontal="center"/>
    </xf>
    <xf numFmtId="0" fontId="9" fillId="22" borderId="61" xfId="0" applyFont="1" applyFill="1" applyBorder="1" applyAlignment="1">
      <alignment wrapText="1"/>
    </xf>
    <xf numFmtId="0" fontId="9" fillId="22" borderId="62" xfId="0" applyFont="1" applyFill="1" applyBorder="1"/>
    <xf numFmtId="0" fontId="0" fillId="22" borderId="4" xfId="0" applyFill="1" applyBorder="1" applyAlignment="1">
      <alignment vertical="center" wrapText="1"/>
    </xf>
    <xf numFmtId="0" fontId="0" fillId="22" borderId="5" xfId="0" applyFill="1" applyBorder="1" applyAlignment="1">
      <alignment vertical="top" wrapText="1"/>
    </xf>
    <xf numFmtId="44" fontId="0" fillId="15" borderId="71" xfId="0" applyNumberFormat="1" applyFill="1" applyBorder="1" applyAlignment="1">
      <alignment horizontal="center" vertical="center"/>
    </xf>
    <xf numFmtId="44" fontId="62" fillId="0" borderId="0" xfId="0" applyNumberFormat="1" applyFont="1" applyAlignment="1">
      <alignment vertical="center"/>
    </xf>
    <xf numFmtId="0" fontId="3" fillId="0" borderId="59" xfId="0" applyFont="1" applyBorder="1" applyAlignment="1">
      <alignment horizontal="center"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170" fontId="3" fillId="12" borderId="56" xfId="0" applyNumberFormat="1" applyFont="1" applyFill="1" applyBorder="1" applyAlignment="1">
      <alignment horizontal="center" vertical="center"/>
    </xf>
    <xf numFmtId="170" fontId="3" fillId="12" borderId="54" xfId="0" applyNumberFormat="1" applyFont="1" applyFill="1" applyBorder="1" applyAlignment="1">
      <alignment horizontal="center" vertical="center"/>
    </xf>
    <xf numFmtId="170" fontId="3" fillId="12" borderId="57" xfId="0" applyNumberFormat="1" applyFont="1" applyFill="1" applyBorder="1" applyAlignment="1">
      <alignment horizontal="center" vertical="center"/>
    </xf>
    <xf numFmtId="0" fontId="0" fillId="14" borderId="40" xfId="0" applyFill="1" applyBorder="1"/>
    <xf numFmtId="0" fontId="0" fillId="14" borderId="19" xfId="0" applyFill="1" applyBorder="1"/>
    <xf numFmtId="0" fontId="2" fillId="14" borderId="19" xfId="0" applyFont="1" applyFill="1" applyBorder="1" applyAlignment="1">
      <alignment horizontal="right"/>
    </xf>
    <xf numFmtId="42" fontId="3" fillId="15" borderId="28" xfId="0" applyNumberFormat="1" applyFont="1" applyFill="1" applyBorder="1" applyAlignment="1">
      <alignment horizontal="center"/>
    </xf>
    <xf numFmtId="42" fontId="0" fillId="0" borderId="0" xfId="0" applyNumberFormat="1" applyAlignment="1">
      <alignment horizontal="left"/>
    </xf>
    <xf numFmtId="42" fontId="11" fillId="15" borderId="40" xfId="0" applyNumberFormat="1" applyFont="1" applyFill="1" applyBorder="1" applyAlignment="1">
      <alignment vertical="center"/>
    </xf>
    <xf numFmtId="0" fontId="3" fillId="0" borderId="18" xfId="0" quotePrefix="1" applyFont="1" applyBorder="1" applyAlignment="1">
      <alignment horizontal="center" vertical="center"/>
    </xf>
    <xf numFmtId="42" fontId="41" fillId="3" borderId="28" xfId="0" applyNumberFormat="1" applyFont="1" applyFill="1" applyBorder="1" applyAlignment="1">
      <alignment horizontal="center"/>
    </xf>
    <xf numFmtId="42" fontId="33" fillId="17" borderId="47" xfId="0" applyNumberFormat="1" applyFont="1" applyFill="1" applyBorder="1" applyAlignment="1">
      <alignment horizontal="center" vertical="center"/>
    </xf>
    <xf numFmtId="42" fontId="63" fillId="0" borderId="46" xfId="0" applyNumberFormat="1" applyFont="1" applyBorder="1" applyAlignment="1">
      <alignment horizontal="center" vertical="center"/>
    </xf>
    <xf numFmtId="42" fontId="3" fillId="4" borderId="23" xfId="0" applyNumberFormat="1" applyFont="1" applyFill="1" applyBorder="1" applyAlignment="1">
      <alignment horizontal="center" vertical="center"/>
    </xf>
    <xf numFmtId="42" fontId="3" fillId="7" borderId="48" xfId="0" applyNumberFormat="1" applyFont="1" applyFill="1" applyBorder="1" applyAlignment="1">
      <alignment horizontal="center" vertical="center" wrapText="1"/>
    </xf>
    <xf numFmtId="0" fontId="0" fillId="0" borderId="11" xfId="0" applyBorder="1" applyAlignment="1">
      <alignment horizontal="right" vertical="center"/>
    </xf>
    <xf numFmtId="0" fontId="11" fillId="0" borderId="20" xfId="0" applyFont="1" applyBorder="1" applyAlignment="1">
      <alignment horizontal="right" vertical="center"/>
    </xf>
    <xf numFmtId="0" fontId="3" fillId="0" borderId="39" xfId="0" applyFont="1" applyBorder="1" applyAlignment="1">
      <alignment horizontal="center" vertical="center"/>
    </xf>
    <xf numFmtId="0" fontId="0" fillId="0" borderId="1" xfId="0" applyBorder="1" applyAlignment="1">
      <alignment horizontal="center" vertical="center"/>
    </xf>
    <xf numFmtId="0" fontId="0" fillId="0" borderId="37" xfId="0" applyBorder="1" applyAlignment="1">
      <alignment horizontal="center" vertical="center"/>
    </xf>
    <xf numFmtId="0" fontId="11" fillId="0" borderId="29" xfId="0" quotePrefix="1" applyFont="1" applyBorder="1" applyAlignment="1">
      <alignment vertical="center" wrapText="1"/>
    </xf>
    <xf numFmtId="0" fontId="0" fillId="22" borderId="54" xfId="0" applyFill="1" applyBorder="1" applyAlignment="1">
      <alignment vertical="center"/>
    </xf>
    <xf numFmtId="0" fontId="9" fillId="22" borderId="54" xfId="0" applyFont="1" applyFill="1" applyBorder="1" applyAlignment="1">
      <alignment vertical="center" wrapText="1"/>
    </xf>
    <xf numFmtId="0" fontId="9" fillId="22" borderId="54" xfId="0" quotePrefix="1" applyFont="1" applyFill="1" applyBorder="1" applyAlignment="1">
      <alignment vertical="center" wrapText="1"/>
    </xf>
    <xf numFmtId="0" fontId="9" fillId="0" borderId="54" xfId="0" quotePrefix="1" applyFont="1" applyBorder="1" applyAlignment="1">
      <alignment vertical="center" wrapText="1"/>
    </xf>
    <xf numFmtId="0" fontId="9" fillId="0" borderId="57" xfId="0" applyFont="1" applyBorder="1" applyAlignment="1">
      <alignment vertical="center" wrapText="1"/>
    </xf>
    <xf numFmtId="168" fontId="9" fillId="0" borderId="24" xfId="0" applyNumberFormat="1" applyFont="1" applyBorder="1" applyAlignment="1">
      <alignment horizontal="center" vertical="center"/>
    </xf>
    <xf numFmtId="44" fontId="0" fillId="0" borderId="8" xfId="0" applyNumberFormat="1" applyBorder="1" applyAlignment="1">
      <alignment vertical="center"/>
    </xf>
    <xf numFmtId="10" fontId="9" fillId="0" borderId="9" xfId="0" applyNumberFormat="1" applyFont="1" applyBorder="1" applyAlignment="1">
      <alignment horizontal="center" vertical="center"/>
    </xf>
    <xf numFmtId="0" fontId="3" fillId="0" borderId="47" xfId="0" quotePrefix="1" applyFont="1" applyBorder="1" applyAlignment="1">
      <alignment horizontal="center" vertical="center"/>
    </xf>
    <xf numFmtId="44" fontId="0" fillId="0" borderId="12" xfId="0" applyNumberFormat="1" applyBorder="1" applyAlignment="1">
      <alignment vertical="center" wrapText="1"/>
    </xf>
    <xf numFmtId="0" fontId="3" fillId="0" borderId="19" xfId="0" quotePrefix="1" applyFont="1" applyBorder="1" applyAlignment="1">
      <alignment horizontal="center" vertical="center"/>
    </xf>
    <xf numFmtId="42" fontId="3" fillId="12" borderId="38" xfId="0" applyNumberFormat="1" applyFont="1" applyFill="1" applyBorder="1" applyAlignment="1">
      <alignment horizontal="center" vertical="center"/>
    </xf>
    <xf numFmtId="42" fontId="3" fillId="15" borderId="39" xfId="0" applyNumberFormat="1" applyFont="1" applyFill="1" applyBorder="1" applyAlignment="1">
      <alignment horizontal="center" vertical="center"/>
    </xf>
    <xf numFmtId="44" fontId="0" fillId="0" borderId="61" xfId="0" applyNumberFormat="1" applyBorder="1" applyAlignment="1">
      <alignment vertical="center" wrapText="1"/>
    </xf>
    <xf numFmtId="0" fontId="3" fillId="0" borderId="66" xfId="0" quotePrefix="1" applyFont="1" applyBorder="1" applyAlignment="1">
      <alignment horizontal="center" vertical="center"/>
    </xf>
    <xf numFmtId="42" fontId="3" fillId="12" borderId="23" xfId="0" applyNumberFormat="1" applyFont="1" applyFill="1" applyBorder="1" applyAlignment="1">
      <alignment horizontal="center" vertical="center"/>
    </xf>
    <xf numFmtId="42" fontId="3" fillId="15" borderId="22" xfId="0" applyNumberFormat="1" applyFont="1" applyFill="1" applyBorder="1" applyAlignment="1">
      <alignment horizontal="center" vertical="center"/>
    </xf>
    <xf numFmtId="42" fontId="3" fillId="15" borderId="23" xfId="0" applyNumberFormat="1" applyFont="1" applyFill="1" applyBorder="1" applyAlignment="1">
      <alignment horizontal="center" vertical="center"/>
    </xf>
    <xf numFmtId="0" fontId="9" fillId="0" borderId="45" xfId="0" applyFont="1" applyBorder="1" applyAlignment="1">
      <alignment horizontal="left" vertical="center" wrapText="1"/>
    </xf>
    <xf numFmtId="0" fontId="9"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15" borderId="46" xfId="0" applyFont="1" applyFill="1" applyBorder="1" applyAlignment="1">
      <alignment horizontal="left" vertical="center" wrapText="1"/>
    </xf>
    <xf numFmtId="0" fontId="3" fillId="0" borderId="27" xfId="0" quotePrefix="1" applyFont="1" applyBorder="1" applyAlignment="1">
      <alignment horizontal="center"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2" fontId="2" fillId="3" borderId="28" xfId="0" applyNumberFormat="1" applyFont="1" applyFill="1" applyBorder="1" applyAlignment="1">
      <alignment horizontal="center" vertical="center"/>
    </xf>
    <xf numFmtId="44" fontId="0" fillId="15" borderId="3" xfId="0" applyNumberFormat="1" applyFill="1"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4" xfId="0" applyBorder="1" applyAlignment="1">
      <alignment horizontal="left" vertical="center"/>
    </xf>
    <xf numFmtId="0" fontId="0" fillId="15" borderId="1" xfId="0" applyFill="1" applyBorder="1" applyAlignment="1">
      <alignment vertical="center" wrapText="1"/>
    </xf>
    <xf numFmtId="44" fontId="0" fillId="0" borderId="11" xfId="0" applyNumberFormat="1" applyBorder="1" applyAlignment="1">
      <alignment vertical="center" wrapText="1"/>
    </xf>
    <xf numFmtId="0" fontId="0" fillId="0" borderId="21" xfId="0" applyBorder="1" applyAlignment="1">
      <alignment horizontal="left" vertical="center" wrapText="1"/>
    </xf>
    <xf numFmtId="0" fontId="0" fillId="22" borderId="6" xfId="0" applyFill="1" applyBorder="1" applyAlignment="1">
      <alignment vertical="center" wrapText="1"/>
    </xf>
    <xf numFmtId="0" fontId="0" fillId="22" borderId="1" xfId="0" quotePrefix="1" applyFill="1" applyBorder="1" applyAlignment="1">
      <alignment vertical="center" wrapText="1"/>
    </xf>
    <xf numFmtId="42" fontId="3" fillId="7" borderId="3" xfId="0" applyNumberFormat="1" applyFont="1" applyFill="1" applyBorder="1" applyAlignment="1">
      <alignment horizontal="center" vertical="center" wrapText="1"/>
    </xf>
    <xf numFmtId="42" fontId="3" fillId="16" borderId="23" xfId="0" applyNumberFormat="1" applyFont="1" applyFill="1" applyBorder="1" applyAlignment="1">
      <alignment horizontal="center" vertical="center"/>
    </xf>
    <xf numFmtId="0" fontId="3" fillId="12" borderId="28" xfId="0" applyFont="1" applyFill="1" applyBorder="1" applyAlignment="1">
      <alignment horizontal="center" vertical="center"/>
    </xf>
    <xf numFmtId="0" fontId="9" fillId="0" borderId="51" xfId="0" applyFont="1" applyBorder="1" applyAlignment="1">
      <alignment vertical="center" wrapText="1"/>
    </xf>
    <xf numFmtId="0" fontId="9" fillId="4" borderId="48" xfId="0" applyFont="1" applyFill="1" applyBorder="1" applyAlignment="1">
      <alignment horizontal="left" vertical="center" wrapText="1"/>
    </xf>
    <xf numFmtId="0" fontId="3" fillId="4" borderId="36" xfId="0" applyFont="1" applyFill="1" applyBorder="1" applyAlignment="1">
      <alignment horizontal="center" vertical="center"/>
    </xf>
    <xf numFmtId="0" fontId="0" fillId="0" borderId="22" xfId="0" applyBorder="1" applyAlignment="1">
      <alignment vertical="center" wrapText="1"/>
    </xf>
    <xf numFmtId="0" fontId="3" fillId="14" borderId="22" xfId="0" applyFont="1" applyFill="1" applyBorder="1" applyAlignment="1">
      <alignment horizontal="center" vertical="center" wrapText="1"/>
    </xf>
    <xf numFmtId="0" fontId="0" fillId="0" borderId="1" xfId="0" applyBorder="1" applyAlignment="1">
      <alignment vertical="center"/>
    </xf>
    <xf numFmtId="42" fontId="33" fillId="17" borderId="9" xfId="0" applyNumberFormat="1" applyFont="1" applyFill="1" applyBorder="1" applyAlignment="1">
      <alignment horizontal="center" vertical="center"/>
    </xf>
    <xf numFmtId="0" fontId="3" fillId="6" borderId="66" xfId="0" quotePrefix="1" applyFont="1" applyFill="1" applyBorder="1" applyAlignment="1">
      <alignment horizontal="center" vertical="center"/>
    </xf>
    <xf numFmtId="0" fontId="2" fillId="4" borderId="4" xfId="0" applyFont="1" applyFill="1" applyBorder="1" applyAlignment="1">
      <alignment horizontal="right" vertical="center" wrapText="1"/>
    </xf>
    <xf numFmtId="0" fontId="3" fillId="0" borderId="59" xfId="0" applyFont="1" applyBorder="1" applyAlignment="1">
      <alignment horizontal="center" vertical="center"/>
    </xf>
    <xf numFmtId="42" fontId="3" fillId="15" borderId="24" xfId="0" applyNumberFormat="1" applyFont="1" applyFill="1" applyBorder="1" applyAlignment="1">
      <alignment horizontal="center" vertical="center"/>
    </xf>
    <xf numFmtId="0" fontId="0" fillId="15" borderId="11" xfId="0" applyFill="1" applyBorder="1" applyAlignment="1">
      <alignment vertical="center" wrapText="1"/>
    </xf>
    <xf numFmtId="0" fontId="38" fillId="2" borderId="19" xfId="0" applyFont="1" applyFill="1" applyBorder="1" applyAlignment="1">
      <alignment horizontal="left" vertical="center" wrapText="1"/>
    </xf>
    <xf numFmtId="0" fontId="23" fillId="20" borderId="19" xfId="0" applyFont="1" applyFill="1" applyBorder="1" applyAlignment="1">
      <alignment horizontal="left" vertical="center" wrapText="1"/>
    </xf>
    <xf numFmtId="0" fontId="19" fillId="6" borderId="22" xfId="0" applyFont="1" applyFill="1" applyBorder="1" applyAlignment="1">
      <alignment horizontal="left" vertical="center" wrapText="1"/>
    </xf>
    <xf numFmtId="0" fontId="9" fillId="0" borderId="56" xfId="0" applyFont="1" applyBorder="1" applyAlignment="1">
      <alignmen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1" fillId="14" borderId="19"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23" fillId="6" borderId="19" xfId="0" applyFont="1" applyFill="1" applyBorder="1" applyAlignment="1">
      <alignment horizontal="left" vertical="center" wrapText="1"/>
    </xf>
    <xf numFmtId="0" fontId="9" fillId="0" borderId="46" xfId="0" applyFont="1" applyBorder="1" applyAlignment="1">
      <alignment horizontal="left" vertical="center" wrapText="1"/>
    </xf>
    <xf numFmtId="0" fontId="9" fillId="0" borderId="76" xfId="0" applyFont="1" applyBorder="1" applyAlignment="1">
      <alignment horizontal="left" vertical="center" wrapText="1"/>
    </xf>
    <xf numFmtId="0" fontId="0" fillId="14" borderId="19" xfId="0" applyFill="1" applyBorder="1" applyAlignment="1">
      <alignment horizontal="left" vertical="center" wrapText="1"/>
    </xf>
    <xf numFmtId="0" fontId="9" fillId="0" borderId="52" xfId="0" applyFont="1" applyBorder="1" applyAlignment="1">
      <alignment horizontal="left" vertical="center" wrapText="1"/>
    </xf>
    <xf numFmtId="0" fontId="19" fillId="6" borderId="0" xfId="0" applyFont="1" applyFill="1" applyAlignment="1">
      <alignment horizontal="left" vertical="center" wrapText="1"/>
    </xf>
    <xf numFmtId="0" fontId="62" fillId="0" borderId="45" xfId="0" quotePrefix="1" applyFont="1" applyBorder="1" applyAlignment="1">
      <alignment horizontal="left" vertical="center" wrapText="1"/>
    </xf>
    <xf numFmtId="0" fontId="62" fillId="0" borderId="47" xfId="0" quotePrefix="1" applyFont="1" applyBorder="1" applyAlignment="1">
      <alignment horizontal="left" vertical="center" wrapText="1"/>
    </xf>
    <xf numFmtId="0" fontId="11" fillId="0" borderId="0" xfId="0" applyFont="1" applyAlignment="1">
      <alignment horizontal="left" vertical="center" wrapText="1"/>
    </xf>
    <xf numFmtId="0" fontId="19" fillId="6" borderId="19" xfId="0" applyFont="1" applyFill="1" applyBorder="1" applyAlignment="1">
      <alignment horizontal="left" vertical="center" wrapText="1"/>
    </xf>
    <xf numFmtId="0" fontId="62" fillId="0" borderId="46" xfId="0" quotePrefix="1" applyFont="1" applyBorder="1" applyAlignment="1">
      <alignment horizontal="left" vertical="center" wrapText="1"/>
    </xf>
    <xf numFmtId="0" fontId="11" fillId="14" borderId="0" xfId="0" applyFont="1" applyFill="1" applyAlignment="1">
      <alignment horizontal="center"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0" fontId="11" fillId="6" borderId="19" xfId="0" applyFont="1" applyFill="1" applyBorder="1" applyAlignment="1">
      <alignment horizontal="left" vertical="center" wrapText="1"/>
    </xf>
    <xf numFmtId="0" fontId="62" fillId="0" borderId="76" xfId="0" quotePrefix="1" applyFont="1" applyBorder="1" applyAlignment="1">
      <alignment horizontal="left" vertical="center" wrapText="1"/>
    </xf>
    <xf numFmtId="0" fontId="0" fillId="0" borderId="71" xfId="0" applyBorder="1" applyAlignment="1">
      <alignment horizontal="left" vertical="center"/>
    </xf>
    <xf numFmtId="0" fontId="0" fillId="0" borderId="76" xfId="0" applyBorder="1" applyAlignment="1">
      <alignment horizontal="left" vertical="center"/>
    </xf>
    <xf numFmtId="0" fontId="19" fillId="14" borderId="22" xfId="0" applyFont="1" applyFill="1" applyBorder="1" applyAlignment="1">
      <alignment horizontal="center" vertical="center" wrapText="1"/>
    </xf>
    <xf numFmtId="0" fontId="19" fillId="3" borderId="52" xfId="0" applyFont="1" applyFill="1" applyBorder="1" applyAlignment="1">
      <alignment horizontal="left" vertical="center" wrapText="1"/>
    </xf>
    <xf numFmtId="0" fontId="19" fillId="14" borderId="19" xfId="0" applyFont="1" applyFill="1" applyBorder="1" applyAlignment="1">
      <alignment horizontal="center" vertical="center" wrapText="1"/>
    </xf>
    <xf numFmtId="0" fontId="26" fillId="0" borderId="71" xfId="0" applyFont="1" applyBorder="1" applyAlignment="1">
      <alignment horizontal="left" vertical="center" wrapText="1"/>
    </xf>
    <xf numFmtId="0" fontId="9" fillId="0" borderId="46" xfId="0" quotePrefix="1" applyFont="1" applyBorder="1" applyAlignment="1">
      <alignment horizontal="left" vertical="center" wrapText="1"/>
    </xf>
    <xf numFmtId="0" fontId="9" fillId="0" borderId="19" xfId="0" applyFont="1" applyBorder="1" applyAlignment="1">
      <alignment horizontal="left" vertical="center" wrapText="1"/>
    </xf>
    <xf numFmtId="0" fontId="11" fillId="0" borderId="0" xfId="0" applyFont="1" applyAlignment="1">
      <alignment horizontal="center" vertical="center" wrapText="1"/>
    </xf>
    <xf numFmtId="0" fontId="11" fillId="3" borderId="19" xfId="0" applyFont="1" applyFill="1" applyBorder="1" applyAlignment="1">
      <alignment horizontal="center" vertical="center" wrapText="1"/>
    </xf>
    <xf numFmtId="0" fontId="9" fillId="0" borderId="48" xfId="0" applyFont="1" applyBorder="1" applyAlignment="1">
      <alignment horizontal="left" vertical="center" wrapText="1"/>
    </xf>
    <xf numFmtId="0" fontId="9" fillId="14" borderId="48" xfId="0" applyFont="1" applyFill="1" applyBorder="1" applyAlignment="1">
      <alignment horizontal="left" vertical="center" wrapText="1"/>
    </xf>
    <xf numFmtId="0" fontId="11" fillId="0" borderId="53" xfId="0" applyFont="1" applyBorder="1" applyAlignment="1">
      <alignment horizontal="center" vertical="center" wrapText="1"/>
    </xf>
    <xf numFmtId="0" fontId="62" fillId="0" borderId="54" xfId="0" applyFont="1" applyBorder="1" applyAlignment="1">
      <alignment horizontal="left" vertical="center" wrapText="1"/>
    </xf>
    <xf numFmtId="0" fontId="11" fillId="16" borderId="22" xfId="0" applyFont="1" applyFill="1" applyBorder="1" applyAlignment="1">
      <alignment horizontal="center" vertical="center" wrapText="1"/>
    </xf>
    <xf numFmtId="0" fontId="9" fillId="0" borderId="76" xfId="0" quotePrefix="1" applyFont="1" applyBorder="1" applyAlignment="1">
      <alignment horizontal="left" vertical="center" wrapText="1"/>
    </xf>
    <xf numFmtId="0" fontId="9" fillId="0" borderId="47" xfId="0" quotePrefix="1" applyFont="1" applyBorder="1" applyAlignment="1">
      <alignment horizontal="left" vertical="center" wrapText="1"/>
    </xf>
    <xf numFmtId="0" fontId="9" fillId="0" borderId="71" xfId="0" applyFont="1" applyBorder="1" applyAlignment="1">
      <alignment vertical="center" wrapText="1"/>
    </xf>
    <xf numFmtId="0" fontId="9" fillId="14" borderId="19" xfId="0" applyFont="1" applyFill="1" applyBorder="1" applyAlignment="1">
      <alignment horizontal="center" vertical="center" wrapText="1"/>
    </xf>
    <xf numFmtId="0" fontId="9" fillId="0" borderId="71"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71" xfId="0" applyFont="1" applyBorder="1" applyAlignment="1">
      <alignment horizontal="left" vertical="center" wrapText="1"/>
    </xf>
    <xf numFmtId="0" fontId="11" fillId="0" borderId="46" xfId="0" applyFont="1" applyBorder="1" applyAlignment="1">
      <alignment horizontal="left" vertical="center" wrapText="1"/>
    </xf>
    <xf numFmtId="0" fontId="11" fillId="0" borderId="47" xfId="0" applyFont="1" applyBorder="1" applyAlignment="1">
      <alignment horizontal="left" vertical="center" wrapText="1"/>
    </xf>
    <xf numFmtId="0" fontId="9" fillId="20" borderId="3" xfId="0" applyFont="1" applyFill="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14" borderId="3" xfId="0" applyFont="1" applyFill="1" applyBorder="1" applyAlignment="1">
      <alignment horizontal="center" vertical="center"/>
    </xf>
    <xf numFmtId="0" fontId="3" fillId="4" borderId="66" xfId="0" quotePrefix="1" applyFont="1" applyFill="1" applyBorder="1" applyAlignment="1">
      <alignment horizontal="center" vertical="center"/>
    </xf>
    <xf numFmtId="42" fontId="3" fillId="22" borderId="52" xfId="0" applyNumberFormat="1" applyFont="1" applyFill="1" applyBorder="1" applyAlignment="1">
      <alignment horizontal="center" vertical="center"/>
    </xf>
    <xf numFmtId="0" fontId="9" fillId="0" borderId="71" xfId="0" quotePrefix="1" applyFont="1" applyBorder="1" applyAlignment="1">
      <alignment horizontal="left" vertical="center" wrapText="1"/>
    </xf>
    <xf numFmtId="0" fontId="9" fillId="0" borderId="45" xfId="0" quotePrefix="1" applyFont="1" applyBorder="1" applyAlignment="1">
      <alignment horizontal="left" vertical="center" wrapText="1"/>
    </xf>
    <xf numFmtId="0" fontId="3" fillId="14" borderId="78" xfId="0" applyFont="1" applyFill="1" applyBorder="1" applyAlignment="1">
      <alignment horizontal="center" vertical="center"/>
    </xf>
    <xf numFmtId="42" fontId="3" fillId="14" borderId="24" xfId="0" applyNumberFormat="1" applyFont="1" applyFill="1" applyBorder="1" applyAlignment="1">
      <alignment horizontal="center" vertical="center"/>
    </xf>
    <xf numFmtId="0" fontId="10" fillId="0" borderId="34" xfId="0" applyFont="1" applyBorder="1" applyAlignment="1">
      <alignment horizontal="center" vertical="center"/>
    </xf>
    <xf numFmtId="0" fontId="61" fillId="0" borderId="34" xfId="0" applyFont="1" applyBorder="1" applyAlignment="1">
      <alignment horizontal="center" vertical="center"/>
    </xf>
    <xf numFmtId="0" fontId="3" fillId="14" borderId="66" xfId="0" applyFont="1" applyFill="1" applyBorder="1" applyAlignment="1">
      <alignment horizontal="center" vertical="center"/>
    </xf>
    <xf numFmtId="42" fontId="11" fillId="14" borderId="23" xfId="0" applyNumberFormat="1" applyFont="1" applyFill="1" applyBorder="1" applyAlignment="1">
      <alignment horizontal="center" vertical="center"/>
    </xf>
    <xf numFmtId="0" fontId="61" fillId="0" borderId="13" xfId="0" quotePrefix="1" applyFont="1" applyBorder="1" applyAlignment="1">
      <alignment horizontal="center" vertical="center"/>
    </xf>
    <xf numFmtId="0" fontId="5" fillId="0" borderId="9" xfId="0" applyFont="1" applyBorder="1" applyAlignment="1">
      <alignment horizontal="left" vertical="center" wrapText="1"/>
    </xf>
    <xf numFmtId="42" fontId="3" fillId="15" borderId="55" xfId="0" applyNumberFormat="1" applyFont="1" applyFill="1" applyBorder="1" applyAlignment="1">
      <alignment horizontal="center" vertical="center"/>
    </xf>
    <xf numFmtId="0" fontId="9" fillId="0" borderId="37" xfId="0" applyFont="1" applyBorder="1" applyAlignment="1">
      <alignment horizontal="left" vertical="center" wrapText="1"/>
    </xf>
    <xf numFmtId="0" fontId="62" fillId="0" borderId="1" xfId="0" applyFont="1" applyBorder="1" applyAlignment="1">
      <alignment vertical="center"/>
    </xf>
    <xf numFmtId="42" fontId="3" fillId="0" borderId="19" xfId="0" applyNumberFormat="1" applyFont="1" applyBorder="1" applyAlignment="1">
      <alignment horizontal="center" vertical="center"/>
    </xf>
    <xf numFmtId="0" fontId="9" fillId="7" borderId="19" xfId="0" applyFont="1" applyFill="1" applyBorder="1" applyAlignment="1">
      <alignment horizontal="left" vertical="center" wrapText="1"/>
    </xf>
    <xf numFmtId="0" fontId="0" fillId="0" borderId="75" xfId="0" quotePrefix="1" applyBorder="1" applyAlignment="1">
      <alignment horizontal="center" vertical="center" wrapText="1"/>
    </xf>
    <xf numFmtId="0" fontId="0" fillId="0" borderId="71" xfId="0" quotePrefix="1" applyBorder="1" applyAlignment="1">
      <alignment horizontal="center" vertical="center" wrapText="1"/>
    </xf>
    <xf numFmtId="42" fontId="3" fillId="17" borderId="15" xfId="0" applyNumberFormat="1" applyFont="1" applyFill="1" applyBorder="1" applyAlignment="1">
      <alignment horizontal="center" vertical="center"/>
    </xf>
    <xf numFmtId="0" fontId="9" fillId="0" borderId="49" xfId="0" applyFont="1" applyBorder="1" applyAlignment="1">
      <alignment horizontal="left" vertical="center" wrapText="1"/>
    </xf>
    <xf numFmtId="42" fontId="3" fillId="14" borderId="49" xfId="0" applyNumberFormat="1" applyFont="1" applyFill="1" applyBorder="1" applyAlignment="1">
      <alignment horizontal="center" vertical="center"/>
    </xf>
    <xf numFmtId="42" fontId="3" fillId="14" borderId="50" xfId="0" applyNumberFormat="1" applyFont="1" applyFill="1" applyBorder="1" applyAlignment="1">
      <alignment horizontal="center" vertical="center"/>
    </xf>
    <xf numFmtId="0" fontId="9" fillId="14" borderId="22" xfId="0" applyFont="1" applyFill="1" applyBorder="1" applyAlignment="1">
      <alignment horizontal="left" vertical="center" wrapText="1"/>
    </xf>
    <xf numFmtId="0" fontId="3" fillId="0" borderId="20" xfId="0" quotePrefix="1" applyFont="1" applyBorder="1" applyAlignment="1">
      <alignment horizontal="center" vertical="center"/>
    </xf>
    <xf numFmtId="42" fontId="3" fillId="15" borderId="57" xfId="0" applyNumberFormat="1" applyFont="1" applyFill="1" applyBorder="1" applyAlignment="1">
      <alignment horizontal="center" vertical="center"/>
    </xf>
    <xf numFmtId="0" fontId="9" fillId="0" borderId="39" xfId="0" applyFont="1" applyBorder="1" applyAlignment="1">
      <alignment horizontal="left" vertical="center" wrapText="1"/>
    </xf>
    <xf numFmtId="0" fontId="3" fillId="14" borderId="60" xfId="0" applyFont="1" applyFill="1" applyBorder="1" applyAlignment="1">
      <alignment horizontal="center" vertical="center"/>
    </xf>
    <xf numFmtId="42" fontId="3" fillId="15" borderId="20" xfId="0" applyNumberFormat="1" applyFont="1" applyFill="1" applyBorder="1" applyAlignment="1">
      <alignment horizontal="center" vertical="center"/>
    </xf>
    <xf numFmtId="0" fontId="3" fillId="7" borderId="77" xfId="0" applyFont="1" applyFill="1" applyBorder="1" applyAlignment="1">
      <alignment horizontal="center" vertical="center"/>
    </xf>
    <xf numFmtId="0" fontId="3" fillId="7" borderId="61" xfId="0" quotePrefix="1" applyFont="1" applyFill="1" applyBorder="1" applyAlignment="1">
      <alignment horizontal="right" vertical="center"/>
    </xf>
    <xf numFmtId="0" fontId="3" fillId="7" borderId="66" xfId="0" applyFont="1" applyFill="1" applyBorder="1" applyAlignment="1">
      <alignment horizontal="center" vertical="center"/>
    </xf>
    <xf numFmtId="42" fontId="11" fillId="7" borderId="23" xfId="0" applyNumberFormat="1" applyFont="1" applyFill="1" applyBorder="1" applyAlignment="1">
      <alignment horizontal="center" vertical="center"/>
    </xf>
    <xf numFmtId="42" fontId="3" fillId="7" borderId="22" xfId="0" applyNumberFormat="1" applyFont="1" applyFill="1" applyBorder="1" applyAlignment="1">
      <alignment horizontal="center" vertical="center"/>
    </xf>
    <xf numFmtId="42" fontId="3" fillId="7" borderId="23" xfId="0" applyNumberFormat="1" applyFont="1" applyFill="1" applyBorder="1" applyAlignment="1">
      <alignment horizontal="center" vertical="center"/>
    </xf>
    <xf numFmtId="0" fontId="9" fillId="7" borderId="22" xfId="0" quotePrefix="1" applyFont="1" applyFill="1" applyBorder="1" applyAlignment="1">
      <alignment horizontal="left" vertical="center"/>
    </xf>
    <xf numFmtId="0" fontId="3" fillId="20" borderId="78" xfId="0" applyFont="1" applyFill="1" applyBorder="1" applyAlignment="1">
      <alignment horizontal="center" vertical="center"/>
    </xf>
    <xf numFmtId="0" fontId="3" fillId="20" borderId="67" xfId="0" applyFont="1" applyFill="1" applyBorder="1" applyAlignment="1">
      <alignment horizontal="center" vertical="center"/>
    </xf>
    <xf numFmtId="42" fontId="3" fillId="20" borderId="24" xfId="0" applyNumberFormat="1" applyFont="1" applyFill="1" applyBorder="1" applyAlignment="1">
      <alignment horizontal="center" vertical="center"/>
    </xf>
    <xf numFmtId="42" fontId="3" fillId="20" borderId="52" xfId="0" applyNumberFormat="1" applyFont="1" applyFill="1" applyBorder="1" applyAlignment="1">
      <alignment horizontal="center"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27" fillId="14" borderId="61" xfId="0" applyFont="1" applyFill="1" applyBorder="1" applyAlignment="1">
      <alignment horizontal="right" vertical="center" wrapText="1"/>
    </xf>
    <xf numFmtId="42" fontId="11" fillId="14" borderId="22" xfId="0" applyNumberFormat="1" applyFont="1" applyFill="1" applyBorder="1" applyAlignment="1">
      <alignment horizontal="center" vertical="center"/>
    </xf>
    <xf numFmtId="0" fontId="11" fillId="14" borderId="22" xfId="0" applyFont="1" applyFill="1" applyBorder="1" applyAlignment="1">
      <alignment horizontal="center" vertical="center" wrapText="1"/>
    </xf>
    <xf numFmtId="0" fontId="9" fillId="15" borderId="17" xfId="0" applyFont="1" applyFill="1" applyBorder="1" applyAlignment="1">
      <alignment horizontal="left" vertical="center" wrapText="1"/>
    </xf>
    <xf numFmtId="0" fontId="3" fillId="0" borderId="49" xfId="0" applyFont="1" applyBorder="1" applyAlignment="1">
      <alignment horizontal="center" vertical="center"/>
    </xf>
    <xf numFmtId="0" fontId="3" fillId="0" borderId="22" xfId="0" applyFont="1" applyBorder="1" applyAlignment="1">
      <alignment horizontal="center" vertical="center"/>
    </xf>
    <xf numFmtId="42" fontId="3" fillId="0" borderId="22" xfId="0" applyNumberFormat="1" applyFont="1" applyBorder="1" applyAlignment="1">
      <alignment horizontal="center" vertical="center"/>
    </xf>
    <xf numFmtId="0" fontId="3" fillId="0" borderId="51" xfId="0" applyFont="1" applyBorder="1" applyAlignment="1">
      <alignment horizontal="center" vertical="center"/>
    </xf>
    <xf numFmtId="0" fontId="27" fillId="0" borderId="52" xfId="0" applyFont="1" applyBorder="1" applyAlignment="1">
      <alignment horizontal="left" vertical="center" wrapText="1"/>
    </xf>
    <xf numFmtId="0" fontId="3" fillId="0" borderId="52" xfId="0" applyFont="1" applyBorder="1" applyAlignment="1">
      <alignment horizontal="center" vertical="center"/>
    </xf>
    <xf numFmtId="42" fontId="3" fillId="0" borderId="52" xfId="0" applyNumberFormat="1" applyFont="1" applyBorder="1" applyAlignment="1">
      <alignment horizontal="center" vertical="center"/>
    </xf>
    <xf numFmtId="0" fontId="0" fillId="0" borderId="61" xfId="0" applyBorder="1" applyAlignment="1">
      <alignment horizontal="right" vertical="center" wrapText="1"/>
    </xf>
    <xf numFmtId="0" fontId="9" fillId="0" borderId="22" xfId="0" applyFont="1" applyBorder="1" applyAlignment="1">
      <alignment horizontal="center" vertical="center" wrapText="1"/>
    </xf>
    <xf numFmtId="0" fontId="40" fillId="6" borderId="78" xfId="0" applyFont="1" applyFill="1" applyBorder="1" applyAlignment="1">
      <alignment horizontal="center" vertical="center"/>
    </xf>
    <xf numFmtId="0" fontId="23" fillId="6" borderId="25" xfId="0" applyFont="1" applyFill="1" applyBorder="1" applyAlignment="1">
      <alignment vertical="center" wrapText="1"/>
    </xf>
    <xf numFmtId="0" fontId="40" fillId="6" borderId="67" xfId="0" applyFont="1" applyFill="1" applyBorder="1" applyAlignment="1">
      <alignment horizontal="center" vertical="center"/>
    </xf>
    <xf numFmtId="42" fontId="40" fillId="6" borderId="24" xfId="0" applyNumberFormat="1" applyFont="1" applyFill="1" applyBorder="1" applyAlignment="1">
      <alignment horizontal="center" vertical="center"/>
    </xf>
    <xf numFmtId="42" fontId="30" fillId="6" borderId="52" xfId="0" applyNumberFormat="1" applyFont="1" applyFill="1" applyBorder="1" applyAlignment="1">
      <alignment horizontal="center" vertical="center"/>
    </xf>
    <xf numFmtId="42" fontId="30" fillId="6" borderId="24" xfId="0" applyNumberFormat="1" applyFont="1" applyFill="1" applyBorder="1" applyAlignment="1">
      <alignment horizontal="center" vertical="center"/>
    </xf>
    <xf numFmtId="0" fontId="23" fillId="6" borderId="52" xfId="0" applyFont="1" applyFill="1" applyBorder="1" applyAlignment="1">
      <alignment horizontal="left" vertical="center" wrapText="1"/>
    </xf>
    <xf numFmtId="0" fontId="0" fillId="0" borderId="19" xfId="0" applyBorder="1" applyAlignment="1">
      <alignment horizontal="right" vertical="center" wrapText="1"/>
    </xf>
    <xf numFmtId="164" fontId="3" fillId="14" borderId="66" xfId="0" applyNumberFormat="1" applyFont="1" applyFill="1" applyBorder="1" applyAlignment="1">
      <alignment horizontal="center" vertical="center"/>
    </xf>
    <xf numFmtId="0" fontId="3" fillId="0" borderId="22" xfId="0" quotePrefix="1" applyFont="1" applyBorder="1" applyAlignment="1">
      <alignment horizontal="center" vertical="center"/>
    </xf>
    <xf numFmtId="0" fontId="3" fillId="0" borderId="52" xfId="0" quotePrefix="1" applyFont="1" applyBorder="1" applyAlignment="1">
      <alignment horizontal="center" vertical="center"/>
    </xf>
    <xf numFmtId="42" fontId="33" fillId="17" borderId="71" xfId="0" applyNumberFormat="1" applyFont="1" applyFill="1" applyBorder="1" applyAlignment="1">
      <alignment horizontal="center" vertical="center"/>
    </xf>
    <xf numFmtId="0" fontId="2" fillId="0" borderId="41" xfId="0" applyFont="1" applyBorder="1" applyAlignment="1">
      <alignment vertical="center" wrapText="1"/>
    </xf>
    <xf numFmtId="0" fontId="3" fillId="0" borderId="15" xfId="0" quotePrefix="1" applyFont="1" applyBorder="1" applyAlignment="1">
      <alignment horizontal="center" vertical="center"/>
    </xf>
    <xf numFmtId="0" fontId="27" fillId="0" borderId="52" xfId="0" applyFont="1" applyBorder="1" applyAlignment="1">
      <alignment vertical="center" wrapText="1"/>
    </xf>
    <xf numFmtId="0" fontId="3" fillId="4" borderId="16" xfId="0" applyFont="1" applyFill="1" applyBorder="1" applyAlignment="1">
      <alignment horizontal="center" vertical="center"/>
    </xf>
    <xf numFmtId="42" fontId="11" fillId="15" borderId="71" xfId="0" applyNumberFormat="1" applyFont="1" applyFill="1" applyBorder="1" applyAlignment="1">
      <alignment horizontal="center" vertical="center"/>
    </xf>
    <xf numFmtId="0" fontId="3" fillId="6" borderId="78" xfId="0" applyFont="1" applyFill="1" applyBorder="1" applyAlignment="1">
      <alignment horizontal="center" vertical="center"/>
    </xf>
    <xf numFmtId="0" fontId="3" fillId="6" borderId="67" xfId="0" applyFont="1" applyFill="1" applyBorder="1" applyAlignment="1">
      <alignment horizontal="center" vertical="center"/>
    </xf>
    <xf numFmtId="42" fontId="11" fillId="6" borderId="24" xfId="0" applyNumberFormat="1" applyFont="1" applyFill="1" applyBorder="1" applyAlignment="1">
      <alignment horizontal="center" vertical="center"/>
    </xf>
    <xf numFmtId="0" fontId="11" fillId="6" borderId="29" xfId="0" applyFont="1" applyFill="1" applyBorder="1" applyAlignment="1">
      <alignment horizontal="left" vertical="center" wrapText="1"/>
    </xf>
    <xf numFmtId="0" fontId="11" fillId="6" borderId="52" xfId="0" applyFont="1" applyFill="1" applyBorder="1" applyAlignment="1">
      <alignment horizontal="left" vertical="center" wrapText="1"/>
    </xf>
    <xf numFmtId="0" fontId="3" fillId="14" borderId="61" xfId="0" applyFont="1" applyFill="1" applyBorder="1" applyAlignment="1">
      <alignment horizontal="right" vertical="center" wrapText="1"/>
    </xf>
    <xf numFmtId="0" fontId="9" fillId="0" borderId="19" xfId="0" applyFont="1" applyBorder="1" applyAlignment="1">
      <alignment vertical="center" wrapText="1"/>
    </xf>
    <xf numFmtId="0" fontId="11" fillId="0" borderId="19" xfId="0" applyFont="1" applyBorder="1" applyAlignment="1">
      <alignment horizontal="center" vertical="center"/>
    </xf>
    <xf numFmtId="42" fontId="11" fillId="0" borderId="19" xfId="0" applyNumberFormat="1" applyFont="1" applyBorder="1" applyAlignment="1">
      <alignment horizontal="center" vertical="center"/>
    </xf>
    <xf numFmtId="42" fontId="11" fillId="14" borderId="50" xfId="0" applyNumberFormat="1" applyFont="1" applyFill="1" applyBorder="1" applyAlignment="1">
      <alignment horizontal="center" vertical="center"/>
    </xf>
    <xf numFmtId="0" fontId="3" fillId="6" borderId="48" xfId="0" applyFont="1" applyFill="1" applyBorder="1" applyAlignment="1">
      <alignment horizontal="center" vertical="center"/>
    </xf>
    <xf numFmtId="0" fontId="7" fillId="6" borderId="19" xfId="0" applyFont="1" applyFill="1" applyBorder="1" applyAlignment="1">
      <alignment vertical="center" wrapText="1"/>
    </xf>
    <xf numFmtId="0" fontId="3" fillId="6" borderId="19" xfId="0" applyFont="1" applyFill="1" applyBorder="1" applyAlignment="1">
      <alignment horizontal="center" vertical="center"/>
    </xf>
    <xf numFmtId="42" fontId="3" fillId="6" borderId="19" xfId="0" applyNumberFormat="1" applyFont="1" applyFill="1" applyBorder="1" applyAlignment="1">
      <alignment horizontal="center" vertical="center"/>
    </xf>
    <xf numFmtId="0" fontId="11" fillId="0" borderId="48" xfId="0" applyFont="1" applyBorder="1" applyAlignment="1">
      <alignment horizontal="center" vertical="center"/>
    </xf>
    <xf numFmtId="0" fontId="11" fillId="6" borderId="48" xfId="0" applyFont="1" applyFill="1" applyBorder="1" applyAlignment="1">
      <alignment horizontal="center" vertical="center"/>
    </xf>
    <xf numFmtId="0" fontId="23" fillId="6" borderId="19" xfId="0" applyFont="1" applyFill="1" applyBorder="1" applyAlignment="1">
      <alignment vertical="center" wrapText="1"/>
    </xf>
    <xf numFmtId="0" fontId="11" fillId="6" borderId="19" xfId="0" applyFont="1" applyFill="1" applyBorder="1" applyAlignment="1">
      <alignment horizontal="center" vertical="center"/>
    </xf>
    <xf numFmtId="0" fontId="9" fillId="6" borderId="3" xfId="0" applyFont="1" applyFill="1" applyBorder="1" applyAlignment="1">
      <alignment horizontal="center" vertical="center"/>
    </xf>
    <xf numFmtId="42" fontId="33" fillId="6" borderId="52" xfId="0" applyNumberFormat="1" applyFont="1" applyFill="1" applyBorder="1" applyAlignment="1">
      <alignment horizontal="center" vertical="center"/>
    </xf>
    <xf numFmtId="0" fontId="27" fillId="6" borderId="19" xfId="0" applyFont="1" applyFill="1" applyBorder="1" applyAlignment="1">
      <alignment vertical="center" wrapText="1"/>
    </xf>
    <xf numFmtId="0" fontId="29" fillId="6" borderId="48" xfId="0" applyFont="1" applyFill="1" applyBorder="1" applyAlignment="1">
      <alignment horizontal="center" vertical="center"/>
    </xf>
    <xf numFmtId="0" fontId="29" fillId="6" borderId="19" xfId="0" applyFont="1" applyFill="1" applyBorder="1" applyAlignment="1">
      <alignment horizontal="center" vertical="center"/>
    </xf>
    <xf numFmtId="42" fontId="29" fillId="6" borderId="19" xfId="0" applyNumberFormat="1" applyFont="1" applyFill="1" applyBorder="1" applyAlignment="1">
      <alignment horizontal="center" vertical="center"/>
    </xf>
    <xf numFmtId="0" fontId="61" fillId="14" borderId="77" xfId="0" applyFont="1" applyFill="1" applyBorder="1" applyAlignment="1">
      <alignment horizontal="center" vertical="center"/>
    </xf>
    <xf numFmtId="0" fontId="82" fillId="14" borderId="61" xfId="0" applyFont="1" applyFill="1" applyBorder="1" applyAlignment="1">
      <alignment horizontal="right" vertical="center" wrapText="1"/>
    </xf>
    <xf numFmtId="0" fontId="83" fillId="11" borderId="66" xfId="0" applyFont="1" applyFill="1" applyBorder="1" applyAlignment="1">
      <alignment horizontal="center" vertical="center"/>
    </xf>
    <xf numFmtId="42" fontId="61" fillId="22" borderId="23" xfId="0" applyNumberFormat="1" applyFont="1" applyFill="1" applyBorder="1" applyAlignment="1">
      <alignment horizontal="center" vertical="center"/>
    </xf>
    <xf numFmtId="42" fontId="61" fillId="0" borderId="22" xfId="0" applyNumberFormat="1" applyFont="1" applyBorder="1" applyAlignment="1">
      <alignment horizontal="center" vertical="center"/>
    </xf>
    <xf numFmtId="42" fontId="61" fillId="0" borderId="23" xfId="0" applyNumberFormat="1" applyFont="1" applyBorder="1" applyAlignment="1">
      <alignment horizontal="center" vertical="center"/>
    </xf>
    <xf numFmtId="0" fontId="62" fillId="14" borderId="22" xfId="0" applyFont="1" applyFill="1" applyBorder="1" applyAlignment="1">
      <alignment horizontal="center" vertical="center" wrapText="1"/>
    </xf>
    <xf numFmtId="0" fontId="3" fillId="0" borderId="74" xfId="0" applyFont="1" applyBorder="1" applyAlignment="1">
      <alignment horizontal="center" vertical="center"/>
    </xf>
    <xf numFmtId="0" fontId="0" fillId="15" borderId="2" xfId="0" applyFill="1" applyBorder="1" applyAlignment="1">
      <alignment vertical="center" wrapText="1"/>
    </xf>
    <xf numFmtId="0" fontId="3" fillId="0" borderId="17" xfId="0" applyFont="1" applyBorder="1" applyAlignment="1">
      <alignment horizontal="right" vertical="center" wrapText="1"/>
    </xf>
    <xf numFmtId="0" fontId="9" fillId="22" borderId="52" xfId="0" applyFont="1" applyFill="1" applyBorder="1" applyAlignment="1">
      <alignment horizontal="left" vertical="center" wrapText="1"/>
    </xf>
    <xf numFmtId="0" fontId="37" fillId="20" borderId="25" xfId="0" applyFont="1" applyFill="1" applyBorder="1" applyAlignment="1">
      <alignment vertical="center" wrapText="1"/>
    </xf>
    <xf numFmtId="0" fontId="24" fillId="20" borderId="52" xfId="0" applyFont="1" applyFill="1" applyBorder="1" applyAlignment="1">
      <alignment horizontal="left" vertical="center" wrapText="1"/>
    </xf>
    <xf numFmtId="0" fontId="3" fillId="22" borderId="48" xfId="0" applyFont="1" applyFill="1" applyBorder="1" applyAlignment="1">
      <alignment horizontal="center" vertical="center"/>
    </xf>
    <xf numFmtId="0" fontId="3" fillId="22" borderId="19" xfId="0" applyFont="1" applyFill="1" applyBorder="1" applyAlignment="1">
      <alignment horizontal="center" vertical="center"/>
    </xf>
    <xf numFmtId="42" fontId="3" fillId="22" borderId="19" xfId="0" applyNumberFormat="1" applyFont="1" applyFill="1" applyBorder="1" applyAlignment="1">
      <alignment horizontal="center" vertical="center"/>
    </xf>
    <xf numFmtId="42" fontId="33" fillId="17" borderId="14" xfId="0" applyNumberFormat="1" applyFont="1" applyFill="1" applyBorder="1" applyAlignment="1">
      <alignment horizontal="center" vertical="center"/>
    </xf>
    <xf numFmtId="0" fontId="3" fillId="3" borderId="77" xfId="0" applyFont="1" applyFill="1" applyBorder="1" applyAlignment="1">
      <alignment horizontal="center" vertical="center"/>
    </xf>
    <xf numFmtId="0" fontId="41" fillId="3" borderId="61" xfId="0" applyFont="1" applyFill="1" applyBorder="1" applyAlignment="1">
      <alignment horizontal="right" vertical="center" wrapText="1"/>
    </xf>
    <xf numFmtId="0" fontId="3" fillId="3" borderId="66" xfId="0" applyFont="1" applyFill="1" applyBorder="1" applyAlignment="1">
      <alignment horizontal="center" vertical="center"/>
    </xf>
    <xf numFmtId="42" fontId="3" fillId="3" borderId="23" xfId="0" applyNumberFormat="1" applyFont="1" applyFill="1" applyBorder="1" applyAlignment="1">
      <alignment horizontal="center" vertical="center"/>
    </xf>
    <xf numFmtId="42" fontId="3" fillId="3" borderId="22" xfId="0" applyNumberFormat="1" applyFont="1" applyFill="1" applyBorder="1" applyAlignment="1">
      <alignment horizontal="center" vertical="center"/>
    </xf>
    <xf numFmtId="0" fontId="9" fillId="3" borderId="22" xfId="0" applyFont="1" applyFill="1" applyBorder="1" applyAlignment="1">
      <alignment horizontal="left" vertical="center" wrapText="1"/>
    </xf>
    <xf numFmtId="0" fontId="3" fillId="22" borderId="49" xfId="0" applyFont="1" applyFill="1" applyBorder="1" applyAlignment="1">
      <alignment horizontal="center" vertical="center"/>
    </xf>
    <xf numFmtId="0" fontId="0" fillId="22" borderId="22" xfId="0" applyFill="1" applyBorder="1" applyAlignment="1">
      <alignment horizontal="right" vertical="center" wrapText="1"/>
    </xf>
    <xf numFmtId="0" fontId="3" fillId="22" borderId="22" xfId="0" applyFont="1" applyFill="1" applyBorder="1" applyAlignment="1">
      <alignment horizontal="center" vertical="center"/>
    </xf>
    <xf numFmtId="42" fontId="3" fillId="22" borderId="22" xfId="0" applyNumberFormat="1" applyFont="1" applyFill="1" applyBorder="1" applyAlignment="1">
      <alignment horizontal="center" vertical="center"/>
    </xf>
    <xf numFmtId="0" fontId="3" fillId="20" borderId="48" xfId="0" applyFont="1" applyFill="1" applyBorder="1" applyAlignment="1">
      <alignment horizontal="center" vertical="center"/>
    </xf>
    <xf numFmtId="0" fontId="37" fillId="20" borderId="19" xfId="0" applyFont="1" applyFill="1" applyBorder="1" applyAlignment="1">
      <alignment vertical="center" wrapText="1"/>
    </xf>
    <xf numFmtId="0" fontId="3" fillId="20" borderId="19" xfId="0" applyFont="1" applyFill="1" applyBorder="1" applyAlignment="1">
      <alignment horizontal="center" vertical="center"/>
    </xf>
    <xf numFmtId="42" fontId="3" fillId="20" borderId="28" xfId="0" applyNumberFormat="1" applyFont="1" applyFill="1" applyBorder="1" applyAlignment="1">
      <alignment horizontal="center" vertical="center"/>
    </xf>
    <xf numFmtId="0" fontId="11" fillId="20" borderId="48" xfId="0" applyFont="1" applyFill="1" applyBorder="1" applyAlignment="1">
      <alignment horizontal="center" vertical="center"/>
    </xf>
    <xf numFmtId="0" fontId="42" fillId="20" borderId="19" xfId="0" applyFont="1" applyFill="1" applyBorder="1" applyAlignment="1">
      <alignment horizontal="left" vertical="center" wrapText="1"/>
    </xf>
    <xf numFmtId="0" fontId="9" fillId="20" borderId="19" xfId="0" applyFont="1" applyFill="1" applyBorder="1" applyAlignment="1">
      <alignment vertical="center"/>
    </xf>
    <xf numFmtId="42" fontId="11" fillId="20" borderId="28" xfId="0" applyNumberFormat="1" applyFont="1" applyFill="1" applyBorder="1" applyAlignment="1">
      <alignment horizontal="center" vertical="center"/>
    </xf>
    <xf numFmtId="0" fontId="2" fillId="3" borderId="77" xfId="0" applyFont="1" applyFill="1" applyBorder="1" applyAlignment="1">
      <alignment horizontal="center" vertical="center"/>
    </xf>
    <xf numFmtId="0" fontId="27" fillId="3" borderId="61" xfId="0" applyFont="1" applyFill="1" applyBorder="1" applyAlignment="1">
      <alignment horizontal="right" vertical="center" wrapText="1"/>
    </xf>
    <xf numFmtId="0" fontId="2" fillId="3" borderId="66" xfId="0" applyFont="1" applyFill="1" applyBorder="1" applyAlignment="1">
      <alignment horizontal="center" vertical="center"/>
    </xf>
    <xf numFmtId="42" fontId="2" fillId="3" borderId="23" xfId="0" applyNumberFormat="1" applyFont="1" applyFill="1" applyBorder="1" applyAlignment="1">
      <alignment horizontal="center" vertical="center"/>
    </xf>
    <xf numFmtId="42" fontId="2" fillId="3" borderId="22" xfId="0" applyNumberFormat="1" applyFont="1" applyFill="1" applyBorder="1" applyAlignment="1">
      <alignment horizontal="center" vertical="center"/>
    </xf>
    <xf numFmtId="0" fontId="19" fillId="3" borderId="22" xfId="0" applyFont="1" applyFill="1" applyBorder="1" applyAlignment="1">
      <alignment horizontal="left" vertical="center" wrapText="1"/>
    </xf>
    <xf numFmtId="0" fontId="9" fillId="20" borderId="52" xfId="0" applyFont="1" applyFill="1" applyBorder="1" applyAlignment="1">
      <alignment horizontal="left" vertical="center" wrapText="1"/>
    </xf>
    <xf numFmtId="0" fontId="0" fillId="22" borderId="19" xfId="0" applyFill="1" applyBorder="1" applyAlignment="1">
      <alignment vertical="center" wrapText="1"/>
    </xf>
    <xf numFmtId="0" fontId="3" fillId="6" borderId="5" xfId="0" quotePrefix="1" applyFont="1" applyFill="1" applyBorder="1" applyAlignment="1">
      <alignment horizontal="center" vertical="center"/>
    </xf>
    <xf numFmtId="0" fontId="9" fillId="6" borderId="19" xfId="0" applyFont="1" applyFill="1" applyBorder="1" applyAlignment="1">
      <alignment horizontal="left" vertical="center" wrapText="1"/>
    </xf>
    <xf numFmtId="42" fontId="3" fillId="6" borderId="24" xfId="0" applyNumberFormat="1" applyFont="1" applyFill="1" applyBorder="1" applyAlignment="1">
      <alignment horizontal="center" vertical="center"/>
    </xf>
    <xf numFmtId="42" fontId="3" fillId="12" borderId="24" xfId="0" applyNumberFormat="1" applyFont="1" applyFill="1" applyBorder="1" applyAlignment="1">
      <alignment horizontal="center" vertical="center"/>
    </xf>
    <xf numFmtId="42" fontId="3" fillId="12" borderId="52" xfId="0" applyNumberFormat="1" applyFont="1" applyFill="1" applyBorder="1" applyAlignment="1">
      <alignment horizontal="center" vertical="center"/>
    </xf>
    <xf numFmtId="0" fontId="0" fillId="22" borderId="22" xfId="0" applyFill="1" applyBorder="1" applyAlignment="1">
      <alignment vertical="center" wrapText="1"/>
    </xf>
    <xf numFmtId="0" fontId="3" fillId="6" borderId="19" xfId="0" quotePrefix="1" applyFont="1" applyFill="1" applyBorder="1" applyAlignment="1">
      <alignment horizontal="center" vertical="center"/>
    </xf>
    <xf numFmtId="0" fontId="0" fillId="0" borderId="36" xfId="0" quotePrefix="1" applyBorder="1" applyAlignment="1">
      <alignment horizontal="center" vertical="center" wrapText="1"/>
    </xf>
    <xf numFmtId="0" fontId="27" fillId="0" borderId="4" xfId="0" quotePrefix="1" applyFont="1" applyBorder="1" applyAlignment="1">
      <alignment vertical="center" wrapText="1"/>
    </xf>
    <xf numFmtId="0" fontId="3" fillId="0" borderId="5" xfId="0" quotePrefix="1" applyFont="1" applyBorder="1" applyAlignment="1">
      <alignment horizontal="center" vertical="center"/>
    </xf>
    <xf numFmtId="0" fontId="27" fillId="6" borderId="4" xfId="0" quotePrefix="1" applyFont="1" applyFill="1" applyBorder="1" applyAlignment="1">
      <alignment vertical="center" wrapText="1"/>
    </xf>
    <xf numFmtId="0" fontId="3" fillId="14" borderId="27" xfId="0" quotePrefix="1" applyFont="1" applyFill="1" applyBorder="1" applyAlignment="1">
      <alignment horizontal="center" vertical="center"/>
    </xf>
    <xf numFmtId="42" fontId="33" fillId="17" borderId="22" xfId="0" applyNumberFormat="1" applyFont="1" applyFill="1" applyBorder="1" applyAlignment="1">
      <alignment horizontal="center" vertical="center"/>
    </xf>
    <xf numFmtId="0" fontId="11" fillId="22" borderId="49" xfId="0" applyFont="1" applyFill="1" applyBorder="1" applyAlignment="1">
      <alignment horizontal="center" vertical="center"/>
    </xf>
    <xf numFmtId="0" fontId="9" fillId="22" borderId="22" xfId="0" applyFont="1" applyFill="1" applyBorder="1" applyAlignment="1">
      <alignment vertical="center"/>
    </xf>
    <xf numFmtId="0" fontId="11" fillId="22" borderId="22" xfId="0" applyFont="1" applyFill="1" applyBorder="1" applyAlignment="1">
      <alignment horizontal="center" vertical="center"/>
    </xf>
    <xf numFmtId="42" fontId="11" fillId="22" borderId="22" xfId="0" applyNumberFormat="1" applyFont="1" applyFill="1" applyBorder="1" applyAlignment="1">
      <alignment horizontal="left" vertical="center"/>
    </xf>
    <xf numFmtId="42" fontId="33" fillId="22" borderId="22" xfId="0" applyNumberFormat="1" applyFont="1" applyFill="1" applyBorder="1" applyAlignment="1">
      <alignment horizontal="center" vertical="center"/>
    </xf>
    <xf numFmtId="0" fontId="3" fillId="22" borderId="0" xfId="0" applyFont="1" applyFill="1" applyAlignment="1">
      <alignment horizontal="left" vertical="center"/>
    </xf>
    <xf numFmtId="42" fontId="2" fillId="22" borderId="0" xfId="0" applyNumberFormat="1" applyFont="1" applyFill="1" applyAlignment="1">
      <alignment horizontal="left" vertical="center"/>
    </xf>
    <xf numFmtId="42" fontId="3" fillId="22" borderId="0" xfId="0" applyNumberFormat="1" applyFont="1" applyFill="1" applyAlignment="1">
      <alignment horizontal="left" vertical="center"/>
    </xf>
    <xf numFmtId="0" fontId="3" fillId="22" borderId="51" xfId="0" applyFont="1" applyFill="1" applyBorder="1" applyAlignment="1">
      <alignment horizontal="center" vertical="center"/>
    </xf>
    <xf numFmtId="0" fontId="0" fillId="22" borderId="52" xfId="0" applyFill="1" applyBorder="1" applyAlignment="1">
      <alignment vertical="center" wrapText="1"/>
    </xf>
    <xf numFmtId="0" fontId="3" fillId="22" borderId="52" xfId="0" applyFont="1" applyFill="1" applyBorder="1" applyAlignment="1">
      <alignment horizontal="center" vertical="center"/>
    </xf>
    <xf numFmtId="0" fontId="38" fillId="22" borderId="44" xfId="0" applyFont="1" applyFill="1" applyBorder="1" applyAlignment="1">
      <alignment horizontal="center" vertical="center"/>
    </xf>
    <xf numFmtId="0" fontId="41" fillId="14" borderId="2" xfId="0" applyFont="1" applyFill="1" applyBorder="1" applyAlignment="1">
      <alignment horizontal="right" vertical="center" wrapText="1"/>
    </xf>
    <xf numFmtId="0" fontId="36" fillId="20" borderId="78" xfId="0" applyFont="1" applyFill="1" applyBorder="1" applyAlignment="1">
      <alignment horizontal="center" vertical="center"/>
    </xf>
    <xf numFmtId="0" fontId="36" fillId="20" borderId="67" xfId="0" applyFont="1" applyFill="1" applyBorder="1" applyAlignment="1">
      <alignment horizontal="center" vertical="center"/>
    </xf>
    <xf numFmtId="42" fontId="36" fillId="20" borderId="24" xfId="0" applyNumberFormat="1" applyFont="1" applyFill="1" applyBorder="1" applyAlignment="1">
      <alignment horizontal="center" vertical="center"/>
    </xf>
    <xf numFmtId="42" fontId="36" fillId="20" borderId="52" xfId="0" applyNumberFormat="1" applyFont="1" applyFill="1" applyBorder="1" applyAlignment="1">
      <alignment horizontal="center" vertical="center"/>
    </xf>
    <xf numFmtId="42" fontId="36" fillId="20" borderId="29" xfId="0" applyNumberFormat="1" applyFont="1" applyFill="1" applyBorder="1" applyAlignment="1">
      <alignment horizontal="center" vertical="center"/>
    </xf>
    <xf numFmtId="0" fontId="35" fillId="20" borderId="52" xfId="0" applyFont="1" applyFill="1" applyBorder="1" applyAlignment="1">
      <alignment horizontal="left" vertical="center" wrapText="1"/>
    </xf>
    <xf numFmtId="42" fontId="3" fillId="14" borderId="22" xfId="0" applyNumberFormat="1" applyFont="1" applyFill="1" applyBorder="1" applyAlignment="1">
      <alignment horizontal="center" vertical="center"/>
    </xf>
    <xf numFmtId="42" fontId="11" fillId="0" borderId="19" xfId="0" applyNumberFormat="1" applyFont="1" applyBorder="1" applyAlignment="1">
      <alignment horizontal="left" vertical="center"/>
    </xf>
    <xf numFmtId="0" fontId="9" fillId="0" borderId="2" xfId="0" applyFont="1" applyBorder="1" applyAlignment="1">
      <alignment horizontal="left" vertical="center" wrapText="1"/>
    </xf>
    <xf numFmtId="9" fontId="3" fillId="15" borderId="14" xfId="0" applyNumberFormat="1" applyFont="1" applyFill="1" applyBorder="1" applyAlignment="1">
      <alignment horizontal="center" vertical="center"/>
    </xf>
    <xf numFmtId="10" fontId="11" fillId="15" borderId="0" xfId="0" applyNumberFormat="1" applyFont="1" applyFill="1" applyAlignment="1">
      <alignment horizontal="center" vertical="center"/>
    </xf>
    <xf numFmtId="10" fontId="11" fillId="15" borderId="30" xfId="0" applyNumberFormat="1" applyFont="1" applyFill="1" applyBorder="1" applyAlignment="1">
      <alignment horizontal="center" vertical="center"/>
    </xf>
    <xf numFmtId="0" fontId="0" fillId="0" borderId="17" xfId="0" applyBorder="1" applyAlignment="1">
      <alignment horizontal="left" vertical="center" wrapText="1"/>
    </xf>
    <xf numFmtId="42" fontId="11" fillId="22" borderId="22" xfId="0" applyNumberFormat="1" applyFont="1" applyFill="1" applyBorder="1" applyAlignment="1">
      <alignment horizontal="center" vertical="center"/>
    </xf>
    <xf numFmtId="0" fontId="17" fillId="20" borderId="78" xfId="0" applyFont="1" applyFill="1" applyBorder="1" applyAlignment="1">
      <alignment horizontal="center" vertical="center"/>
    </xf>
    <xf numFmtId="0" fontId="17" fillId="20" borderId="67" xfId="0" applyFont="1" applyFill="1" applyBorder="1" applyAlignment="1">
      <alignment horizontal="center" vertical="center"/>
    </xf>
    <xf numFmtId="42" fontId="17" fillId="20" borderId="24" xfId="0" applyNumberFormat="1" applyFont="1" applyFill="1" applyBorder="1" applyAlignment="1">
      <alignment horizontal="center" vertical="center"/>
    </xf>
    <xf numFmtId="42" fontId="17" fillId="20" borderId="52" xfId="0" applyNumberFormat="1" applyFont="1" applyFill="1" applyBorder="1" applyAlignment="1">
      <alignment horizontal="center" vertical="center"/>
    </xf>
    <xf numFmtId="42" fontId="17" fillId="20" borderId="29" xfId="0" applyNumberFormat="1" applyFont="1" applyFill="1" applyBorder="1" applyAlignment="1">
      <alignment horizontal="center" vertical="center"/>
    </xf>
    <xf numFmtId="0" fontId="36" fillId="20" borderId="52" xfId="0" applyFont="1" applyFill="1" applyBorder="1" applyAlignment="1">
      <alignment horizontal="left" vertical="center" wrapText="1"/>
    </xf>
    <xf numFmtId="0" fontId="0" fillId="0" borderId="6" xfId="0" applyBorder="1" applyAlignment="1">
      <alignment horizontal="left" vertical="center" wrapText="1"/>
    </xf>
    <xf numFmtId="0" fontId="10" fillId="0" borderId="79" xfId="0" applyFont="1" applyBorder="1" applyAlignment="1">
      <alignment horizontal="center" vertical="center"/>
    </xf>
    <xf numFmtId="0" fontId="62" fillId="0" borderId="2" xfId="0" applyFont="1" applyBorder="1" applyAlignment="1">
      <alignment vertical="center" wrapText="1"/>
    </xf>
    <xf numFmtId="0" fontId="10" fillId="0" borderId="27" xfId="0" applyFont="1" applyBorder="1" applyAlignment="1">
      <alignment horizontal="center" vertical="center"/>
    </xf>
    <xf numFmtId="42" fontId="61" fillId="0" borderId="14" xfId="0" quotePrefix="1" applyNumberFormat="1" applyFont="1" applyBorder="1" applyAlignment="1">
      <alignment horizontal="center" vertical="center"/>
    </xf>
    <xf numFmtId="42" fontId="61" fillId="0" borderId="0" xfId="0" quotePrefix="1" applyNumberFormat="1" applyFont="1" applyAlignment="1">
      <alignment horizontal="center" vertical="center"/>
    </xf>
    <xf numFmtId="42" fontId="61" fillId="0" borderId="30" xfId="0" applyNumberFormat="1" applyFont="1" applyBorder="1" applyAlignment="1">
      <alignment horizontal="center" vertical="center"/>
    </xf>
    <xf numFmtId="0" fontId="62" fillId="0" borderId="0" xfId="0" applyFont="1" applyAlignment="1">
      <alignment horizontal="left" vertical="center" wrapText="1"/>
    </xf>
    <xf numFmtId="0" fontId="9" fillId="14" borderId="22" xfId="0" applyFont="1" applyFill="1" applyBorder="1" applyAlignment="1">
      <alignment horizontal="center" vertical="center" wrapText="1"/>
    </xf>
    <xf numFmtId="0" fontId="9" fillId="6" borderId="52" xfId="0" applyFont="1" applyFill="1" applyBorder="1" applyAlignment="1">
      <alignment horizontal="center" vertical="center" wrapText="1"/>
    </xf>
    <xf numFmtId="0" fontId="41" fillId="0" borderId="22" xfId="0" applyFont="1" applyBorder="1" applyAlignment="1">
      <alignment horizontal="right" vertical="center" wrapText="1"/>
    </xf>
    <xf numFmtId="0" fontId="41" fillId="0" borderId="52" xfId="0" applyFont="1" applyBorder="1" applyAlignment="1">
      <alignment horizontal="right" vertical="center" wrapText="1"/>
    </xf>
    <xf numFmtId="0" fontId="19" fillId="0" borderId="52" xfId="0" applyFont="1" applyBorder="1" applyAlignment="1">
      <alignment horizontal="left" vertical="center" wrapText="1"/>
    </xf>
    <xf numFmtId="0" fontId="88" fillId="6" borderId="19" xfId="0" applyFont="1" applyFill="1" applyBorder="1" applyAlignment="1">
      <alignment horizontal="left" vertical="center" wrapText="1"/>
    </xf>
    <xf numFmtId="0" fontId="9" fillId="22" borderId="19" xfId="0" applyFont="1" applyFill="1" applyBorder="1" applyAlignment="1">
      <alignment horizontal="left" vertical="center" wrapText="1"/>
    </xf>
    <xf numFmtId="0" fontId="9" fillId="22" borderId="22" xfId="0" applyFont="1" applyFill="1" applyBorder="1" applyAlignment="1">
      <alignment horizontal="left" vertical="center" wrapText="1"/>
    </xf>
    <xf numFmtId="0" fontId="9" fillId="22" borderId="22" xfId="0" applyFont="1" applyFill="1" applyBorder="1" applyAlignment="1">
      <alignment horizontal="left" vertical="center"/>
    </xf>
    <xf numFmtId="0" fontId="23" fillId="22" borderId="0" xfId="0" quotePrefix="1" applyFont="1" applyFill="1" applyAlignment="1">
      <alignment horizontal="left" vertical="center" wrapText="1"/>
    </xf>
    <xf numFmtId="0" fontId="9" fillId="6" borderId="24" xfId="0" applyFont="1" applyFill="1" applyBorder="1" applyAlignment="1">
      <alignment horizontal="center" vertical="center"/>
    </xf>
    <xf numFmtId="0" fontId="9" fillId="0" borderId="3" xfId="0" applyFont="1" applyBorder="1" applyAlignment="1">
      <alignment horizontal="center" vertical="center"/>
    </xf>
    <xf numFmtId="0" fontId="9" fillId="22" borderId="23" xfId="0" applyFont="1" applyFill="1" applyBorder="1" applyAlignment="1">
      <alignment horizontal="center" vertical="center"/>
    </xf>
    <xf numFmtId="0" fontId="25" fillId="22" borderId="14" xfId="0" applyFont="1" applyFill="1" applyBorder="1" applyAlignment="1">
      <alignment horizontal="center" vertical="center"/>
    </xf>
    <xf numFmtId="0" fontId="9" fillId="20" borderId="24" xfId="0" applyFont="1" applyFill="1" applyBorder="1" applyAlignment="1">
      <alignment horizontal="center" vertical="center"/>
    </xf>
    <xf numFmtId="0" fontId="3" fillId="6" borderId="51" xfId="0" applyFont="1" applyFill="1" applyBorder="1" applyAlignment="1">
      <alignment horizontal="center" vertical="center"/>
    </xf>
    <xf numFmtId="0" fontId="7" fillId="6" borderId="52" xfId="0" applyFont="1" applyFill="1" applyBorder="1" applyAlignment="1">
      <alignment vertical="center" wrapText="1"/>
    </xf>
    <xf numFmtId="0" fontId="3" fillId="6" borderId="52" xfId="0" applyFont="1" applyFill="1" applyBorder="1" applyAlignment="1">
      <alignment horizontal="center" vertical="center"/>
    </xf>
    <xf numFmtId="42" fontId="3" fillId="6" borderId="52" xfId="0" applyNumberFormat="1" applyFont="1" applyFill="1" applyBorder="1" applyAlignment="1">
      <alignment horizontal="center" vertical="center"/>
    </xf>
    <xf numFmtId="0" fontId="0" fillId="0" borderId="46" xfId="0" applyBorder="1" applyAlignment="1">
      <alignment horizontal="left" vertical="center" wrapText="1"/>
    </xf>
    <xf numFmtId="0" fontId="0" fillId="0" borderId="0" xfId="0" applyAlignment="1">
      <alignment horizontal="left" vertical="top" wrapText="1"/>
    </xf>
    <xf numFmtId="0" fontId="29" fillId="20" borderId="48" xfId="0" applyFont="1" applyFill="1" applyBorder="1" applyAlignment="1">
      <alignment horizontal="center" vertical="center"/>
    </xf>
    <xf numFmtId="0" fontId="29" fillId="20" borderId="19" xfId="0" applyFont="1" applyFill="1" applyBorder="1" applyAlignment="1">
      <alignment horizontal="center" vertical="center"/>
    </xf>
    <xf numFmtId="42" fontId="29" fillId="20" borderId="19" xfId="0" applyNumberFormat="1" applyFont="1" applyFill="1" applyBorder="1" applyAlignment="1">
      <alignment horizontal="center" vertical="center"/>
    </xf>
    <xf numFmtId="42" fontId="40" fillId="20" borderId="19" xfId="0" applyNumberFormat="1" applyFont="1" applyFill="1" applyBorder="1" applyAlignment="1">
      <alignment horizontal="center" vertical="center"/>
    </xf>
    <xf numFmtId="0" fontId="88" fillId="20" borderId="19" xfId="0" applyFont="1" applyFill="1" applyBorder="1" applyAlignment="1">
      <alignment horizontal="left" vertical="center" wrapText="1"/>
    </xf>
    <xf numFmtId="0" fontId="2" fillId="0" borderId="4" xfId="0" quotePrefix="1" applyFont="1" applyBorder="1" applyAlignment="1">
      <alignment horizontal="right" vertical="center" wrapText="1"/>
    </xf>
    <xf numFmtId="0" fontId="45" fillId="0" borderId="0" xfId="0" applyFont="1" applyAlignment="1">
      <alignment horizontal="left" vertical="center"/>
    </xf>
    <xf numFmtId="0" fontId="27" fillId="2" borderId="36" xfId="0" applyFont="1" applyFill="1" applyBorder="1" applyAlignment="1">
      <alignment horizontal="center" vertical="center"/>
    </xf>
    <xf numFmtId="0" fontId="0" fillId="0" borderId="30" xfId="0" applyBorder="1" applyAlignment="1">
      <alignment horizontal="center" vertical="center"/>
    </xf>
    <xf numFmtId="42" fontId="3" fillId="15" borderId="49" xfId="0" applyNumberFormat="1" applyFont="1" applyFill="1" applyBorder="1" applyAlignment="1">
      <alignment horizontal="center" vertical="center"/>
    </xf>
    <xf numFmtId="42" fontId="3" fillId="15" borderId="54" xfId="0" applyNumberFormat="1" applyFont="1" applyFill="1" applyBorder="1" applyAlignment="1">
      <alignment horizontal="center" vertical="center"/>
    </xf>
    <xf numFmtId="42" fontId="3" fillId="15" borderId="50" xfId="0" applyNumberFormat="1" applyFont="1" applyFill="1" applyBorder="1" applyAlignment="1">
      <alignment horizontal="center" vertical="center"/>
    </xf>
    <xf numFmtId="42" fontId="3" fillId="15" borderId="32" xfId="0" applyNumberFormat="1" applyFont="1" applyFill="1" applyBorder="1" applyAlignment="1">
      <alignment horizontal="center" vertical="center"/>
    </xf>
    <xf numFmtId="0" fontId="3" fillId="6" borderId="78" xfId="0" applyFont="1" applyFill="1" applyBorder="1" applyAlignment="1">
      <alignment horizontal="centerContinuous" vertical="center"/>
    </xf>
    <xf numFmtId="0" fontId="7" fillId="6" borderId="25" xfId="0" applyFont="1" applyFill="1" applyBorder="1" applyAlignment="1">
      <alignment horizontal="centerContinuous" vertical="center"/>
    </xf>
    <xf numFmtId="0" fontId="3" fillId="4" borderId="74" xfId="0" quotePrefix="1" applyFont="1" applyFill="1" applyBorder="1" applyAlignment="1">
      <alignment horizontal="right" vertical="center" wrapText="1"/>
    </xf>
    <xf numFmtId="0" fontId="3" fillId="3" borderId="27" xfId="0" quotePrefix="1" applyFont="1" applyFill="1" applyBorder="1" applyAlignment="1">
      <alignment horizontal="center" vertical="center"/>
    </xf>
    <xf numFmtId="42" fontId="3" fillId="4" borderId="14" xfId="0" applyNumberFormat="1" applyFont="1" applyFill="1" applyBorder="1" applyAlignment="1">
      <alignment horizontal="center" vertical="center"/>
    </xf>
    <xf numFmtId="0" fontId="0" fillId="0" borderId="48" xfId="0" quotePrefix="1" applyBorder="1" applyAlignment="1">
      <alignment horizontal="center" vertical="center" wrapText="1"/>
    </xf>
    <xf numFmtId="42" fontId="11" fillId="4" borderId="28" xfId="0" applyNumberFormat="1" applyFont="1" applyFill="1" applyBorder="1" applyAlignment="1">
      <alignment horizontal="center" vertical="center"/>
    </xf>
    <xf numFmtId="0" fontId="3" fillId="4" borderId="60" xfId="0" applyFont="1" applyFill="1" applyBorder="1" applyAlignment="1">
      <alignment horizontal="center" vertical="center"/>
    </xf>
    <xf numFmtId="0" fontId="2" fillId="4" borderId="61" xfId="0" quotePrefix="1" applyFont="1" applyFill="1" applyBorder="1" applyAlignment="1">
      <alignment horizontal="right" vertical="center" wrapText="1"/>
    </xf>
    <xf numFmtId="0" fontId="9" fillId="4" borderId="22" xfId="0" quotePrefix="1" applyFont="1" applyFill="1" applyBorder="1" applyAlignment="1">
      <alignment horizontal="left" vertical="center" wrapText="1"/>
    </xf>
    <xf numFmtId="42" fontId="3" fillId="2" borderId="23" xfId="0" applyNumberFormat="1" applyFont="1" applyFill="1" applyBorder="1" applyAlignment="1">
      <alignment horizontal="center" vertical="center"/>
    </xf>
    <xf numFmtId="0" fontId="9" fillId="0" borderId="17" xfId="0" quotePrefix="1" applyFont="1" applyBorder="1" applyAlignment="1">
      <alignment vertical="center" wrapText="1"/>
    </xf>
    <xf numFmtId="0" fontId="23" fillId="6" borderId="28" xfId="0" applyFont="1" applyFill="1" applyBorder="1" applyAlignment="1">
      <alignment horizontal="left" vertical="center" wrapText="1"/>
    </xf>
    <xf numFmtId="0" fontId="3" fillId="22" borderId="0" xfId="0" applyFont="1" applyFill="1" applyAlignment="1">
      <alignment horizontal="center" vertical="center"/>
    </xf>
    <xf numFmtId="0" fontId="2" fillId="0" borderId="0" xfId="0" applyFont="1" applyAlignment="1">
      <alignment horizontal="right" vertical="center"/>
    </xf>
    <xf numFmtId="0" fontId="9" fillId="0" borderId="31" xfId="0" applyFont="1" applyBorder="1" applyAlignment="1">
      <alignment horizontal="left" vertical="center" wrapText="1"/>
    </xf>
    <xf numFmtId="0" fontId="0" fillId="4" borderId="3" xfId="0" applyFill="1" applyBorder="1" applyAlignment="1">
      <alignment horizontal="center" vertical="center"/>
    </xf>
    <xf numFmtId="0" fontId="0" fillId="7" borderId="3" xfId="0" applyFill="1" applyBorder="1" applyAlignment="1">
      <alignment horizontal="center" vertical="center"/>
    </xf>
    <xf numFmtId="0" fontId="5" fillId="0" borderId="9" xfId="0" applyFont="1" applyBorder="1" applyAlignment="1">
      <alignment horizontal="center" vertical="center"/>
    </xf>
    <xf numFmtId="0" fontId="62" fillId="0" borderId="9" xfId="0" applyFont="1" applyBorder="1" applyAlignment="1">
      <alignment horizontal="center" vertical="center"/>
    </xf>
    <xf numFmtId="0" fontId="9" fillId="14" borderId="19" xfId="0" applyFont="1" applyFill="1" applyBorder="1" applyAlignment="1">
      <alignment horizontal="left" vertical="center" wrapText="1"/>
    </xf>
    <xf numFmtId="0" fontId="11" fillId="14" borderId="61" xfId="0" applyFont="1" applyFill="1" applyBorder="1" applyAlignment="1">
      <alignment horizontal="right" vertical="center" wrapText="1"/>
    </xf>
    <xf numFmtId="0" fontId="11" fillId="14" borderId="66" xfId="0" applyFont="1" applyFill="1" applyBorder="1" applyAlignment="1">
      <alignment horizontal="center" vertical="center"/>
    </xf>
    <xf numFmtId="0" fontId="11" fillId="14" borderId="22" xfId="0" applyFont="1" applyFill="1" applyBorder="1" applyAlignment="1">
      <alignment horizontal="left" vertical="center" wrapText="1"/>
    </xf>
    <xf numFmtId="0" fontId="9" fillId="0" borderId="15" xfId="0" applyFont="1" applyBorder="1" applyAlignment="1">
      <alignment horizontal="left" vertical="center"/>
    </xf>
    <xf numFmtId="42" fontId="11" fillId="22" borderId="0" xfId="0" applyNumberFormat="1" applyFont="1" applyFill="1" applyAlignment="1">
      <alignment horizontal="center" vertical="center"/>
    </xf>
    <xf numFmtId="0" fontId="40" fillId="6" borderId="48" xfId="0" applyFont="1" applyFill="1" applyBorder="1" applyAlignment="1">
      <alignment horizontal="center" vertical="center"/>
    </xf>
    <xf numFmtId="0" fontId="40" fillId="6" borderId="19" xfId="0" applyFont="1" applyFill="1" applyBorder="1" applyAlignment="1">
      <alignment horizontal="left" vertical="center" wrapText="1"/>
    </xf>
    <xf numFmtId="0" fontId="40" fillId="6" borderId="19" xfId="0" applyFont="1" applyFill="1" applyBorder="1" applyAlignment="1">
      <alignment horizontal="center" vertical="center"/>
    </xf>
    <xf numFmtId="42" fontId="40" fillId="6" borderId="19" xfId="0" applyNumberFormat="1" applyFont="1" applyFill="1" applyBorder="1" applyAlignment="1">
      <alignment horizontal="center" vertical="center"/>
    </xf>
    <xf numFmtId="0" fontId="88" fillId="6" borderId="3" xfId="0" applyFont="1" applyFill="1" applyBorder="1" applyAlignment="1">
      <alignment horizontal="center" vertical="center"/>
    </xf>
    <xf numFmtId="0" fontId="11" fillId="14" borderId="60" xfId="0" applyFont="1" applyFill="1" applyBorder="1" applyAlignment="1">
      <alignment horizontal="center" vertical="center"/>
    </xf>
    <xf numFmtId="0" fontId="41" fillId="14" borderId="25" xfId="0" applyFont="1" applyFill="1" applyBorder="1" applyAlignment="1">
      <alignment horizontal="right" vertical="center" wrapText="1"/>
    </xf>
    <xf numFmtId="0" fontId="3" fillId="14" borderId="67" xfId="0" quotePrefix="1" applyFont="1" applyFill="1" applyBorder="1" applyAlignment="1">
      <alignment horizontal="center" vertical="center"/>
    </xf>
    <xf numFmtId="0" fontId="11" fillId="14" borderId="52" xfId="0" applyFont="1" applyFill="1" applyBorder="1" applyAlignment="1">
      <alignment horizontal="center" vertical="center" wrapText="1"/>
    </xf>
    <xf numFmtId="0" fontId="0" fillId="22" borderId="19" xfId="0" applyFill="1" applyBorder="1" applyAlignment="1">
      <alignment vertical="center"/>
    </xf>
    <xf numFmtId="0" fontId="3" fillId="22" borderId="19" xfId="0" quotePrefix="1" applyFont="1" applyFill="1" applyBorder="1" applyAlignment="1">
      <alignment horizontal="center" vertical="center"/>
    </xf>
    <xf numFmtId="0" fontId="9" fillId="22" borderId="28" xfId="0" applyFont="1" applyFill="1" applyBorder="1" applyAlignment="1">
      <alignment horizontal="left" vertical="center" wrapText="1"/>
    </xf>
    <xf numFmtId="0" fontId="0" fillId="0" borderId="57" xfId="0" applyBorder="1" applyAlignment="1">
      <alignment horizontal="center"/>
    </xf>
    <xf numFmtId="0" fontId="0" fillId="3" borderId="61" xfId="0" applyFill="1" applyBorder="1" applyAlignment="1">
      <alignment vertical="center" wrapText="1"/>
    </xf>
    <xf numFmtId="0" fontId="3" fillId="3" borderId="66" xfId="0" quotePrefix="1" applyFont="1" applyFill="1" applyBorder="1" applyAlignment="1">
      <alignment horizontal="center" vertical="center"/>
    </xf>
    <xf numFmtId="0" fontId="11" fillId="3" borderId="22" xfId="0" applyFont="1" applyFill="1" applyBorder="1" applyAlignment="1">
      <alignment horizontal="center" vertical="center" wrapText="1"/>
    </xf>
    <xf numFmtId="0" fontId="2" fillId="0" borderId="22" xfId="0" applyFont="1" applyBorder="1" applyAlignment="1">
      <alignment vertical="center" wrapText="1"/>
    </xf>
    <xf numFmtId="0" fontId="2" fillId="0" borderId="2" xfId="0" applyFont="1" applyBorder="1" applyAlignment="1">
      <alignment horizontal="right" vertical="center" wrapText="1"/>
    </xf>
    <xf numFmtId="42" fontId="32" fillId="15" borderId="24" xfId="0" applyNumberFormat="1" applyFont="1" applyFill="1" applyBorder="1" applyAlignment="1">
      <alignment horizontal="center" vertical="center"/>
    </xf>
    <xf numFmtId="42" fontId="32" fillId="15" borderId="52" xfId="0" applyNumberFormat="1" applyFont="1" applyFill="1" applyBorder="1" applyAlignment="1">
      <alignment horizontal="center" vertical="center"/>
    </xf>
    <xf numFmtId="0" fontId="9" fillId="0" borderId="0" xfId="0" applyFont="1" applyAlignment="1">
      <alignment horizontal="center" vertical="center" wrapText="1"/>
    </xf>
    <xf numFmtId="42" fontId="11" fillId="15" borderId="45" xfId="0" applyNumberFormat="1" applyFont="1" applyFill="1" applyBorder="1" applyAlignment="1">
      <alignment horizontal="center" vertical="center"/>
    </xf>
    <xf numFmtId="0" fontId="0" fillId="22" borderId="48" xfId="0" applyFill="1" applyBorder="1" applyAlignment="1">
      <alignment horizontal="center"/>
    </xf>
    <xf numFmtId="42" fontId="0" fillId="22" borderId="19" xfId="0" applyNumberFormat="1" applyFill="1" applyBorder="1" applyAlignment="1">
      <alignment horizontal="center"/>
    </xf>
    <xf numFmtId="42" fontId="0" fillId="22" borderId="28" xfId="0" applyNumberFormat="1" applyFill="1" applyBorder="1" applyAlignment="1">
      <alignment horizontal="center"/>
    </xf>
    <xf numFmtId="0" fontId="0" fillId="0" borderId="33" xfId="0" applyBorder="1" applyAlignment="1">
      <alignment horizontal="center"/>
    </xf>
    <xf numFmtId="42" fontId="0" fillId="24" borderId="23" xfId="0" applyNumberFormat="1" applyFill="1" applyBorder="1" applyAlignment="1">
      <alignment horizontal="center"/>
    </xf>
    <xf numFmtId="42" fontId="0" fillId="24" borderId="50" xfId="0" applyNumberFormat="1" applyFill="1" applyBorder="1" applyAlignment="1">
      <alignment horizontal="center"/>
    </xf>
    <xf numFmtId="42" fontId="3" fillId="0" borderId="0" xfId="0" applyNumberFormat="1" applyFont="1" applyAlignment="1">
      <alignment horizontal="right"/>
    </xf>
    <xf numFmtId="42" fontId="0" fillId="0" borderId="46" xfId="0" applyNumberFormat="1" applyBorder="1" applyAlignment="1">
      <alignment horizontal="center"/>
    </xf>
    <xf numFmtId="42" fontId="0" fillId="0" borderId="45" xfId="0" applyNumberFormat="1" applyBorder="1" applyAlignment="1">
      <alignment horizontal="center"/>
    </xf>
    <xf numFmtId="42" fontId="3" fillId="15" borderId="46" xfId="0" applyNumberFormat="1" applyFont="1" applyFill="1" applyBorder="1" applyAlignment="1">
      <alignment horizontal="center"/>
    </xf>
    <xf numFmtId="42" fontId="3" fillId="22" borderId="76" xfId="0" applyNumberFormat="1" applyFont="1" applyFill="1" applyBorder="1" applyAlignment="1">
      <alignment horizontal="center"/>
    </xf>
    <xf numFmtId="42" fontId="3" fillId="15" borderId="10" xfId="0" applyNumberFormat="1" applyFont="1" applyFill="1" applyBorder="1" applyAlignment="1">
      <alignment horizontal="center"/>
    </xf>
    <xf numFmtId="42" fontId="3" fillId="3" borderId="19" xfId="0" applyNumberFormat="1" applyFont="1" applyFill="1" applyBorder="1" applyAlignment="1">
      <alignment horizontal="center"/>
    </xf>
    <xf numFmtId="42" fontId="0" fillId="0" borderId="8" xfId="0" quotePrefix="1" applyNumberFormat="1" applyBorder="1" applyAlignment="1">
      <alignment horizontal="left"/>
    </xf>
    <xf numFmtId="42" fontId="0" fillId="0" borderId="9" xfId="0" quotePrefix="1" applyNumberFormat="1" applyBorder="1" applyAlignment="1">
      <alignment horizontal="left"/>
    </xf>
    <xf numFmtId="42" fontId="0" fillId="0" borderId="26" xfId="0" quotePrefix="1" applyNumberFormat="1" applyBorder="1" applyAlignment="1">
      <alignment horizontal="left"/>
    </xf>
    <xf numFmtId="42" fontId="0" fillId="0" borderId="10" xfId="0" quotePrefix="1" applyNumberFormat="1" applyBorder="1" applyAlignment="1">
      <alignment horizontal="left"/>
    </xf>
    <xf numFmtId="42" fontId="0" fillId="0" borderId="58" xfId="0" quotePrefix="1" applyNumberFormat="1" applyBorder="1" applyAlignment="1">
      <alignment horizontal="left"/>
    </xf>
    <xf numFmtId="42" fontId="10" fillId="0" borderId="46" xfId="0" quotePrefix="1" applyNumberFormat="1" applyFont="1" applyBorder="1" applyAlignment="1">
      <alignment horizontal="left"/>
    </xf>
    <xf numFmtId="42" fontId="10" fillId="0" borderId="58" xfId="0" quotePrefix="1" applyNumberFormat="1" applyFont="1" applyBorder="1" applyAlignment="1">
      <alignment horizontal="left"/>
    </xf>
    <xf numFmtId="42" fontId="10" fillId="0" borderId="47" xfId="0" quotePrefix="1" applyNumberFormat="1" applyFont="1" applyBorder="1" applyAlignment="1">
      <alignment horizontal="left"/>
    </xf>
    <xf numFmtId="42" fontId="10" fillId="0" borderId="32" xfId="0" quotePrefix="1" applyNumberFormat="1" applyFont="1" applyBorder="1" applyAlignment="1">
      <alignment horizontal="left"/>
    </xf>
    <xf numFmtId="42" fontId="3" fillId="14" borderId="22" xfId="0" applyNumberFormat="1" applyFont="1" applyFill="1" applyBorder="1" applyAlignment="1">
      <alignment horizontal="center"/>
    </xf>
    <xf numFmtId="42" fontId="3" fillId="14" borderId="50" xfId="0" applyNumberFormat="1" applyFont="1" applyFill="1" applyBorder="1" applyAlignment="1">
      <alignment horizontal="center"/>
    </xf>
    <xf numFmtId="42" fontId="0" fillId="17" borderId="71" xfId="0" applyNumberFormat="1" applyFill="1" applyBorder="1" applyAlignment="1">
      <alignment horizontal="center"/>
    </xf>
    <xf numFmtId="42" fontId="0" fillId="0" borderId="50" xfId="0" applyNumberFormat="1" applyBorder="1" applyAlignment="1">
      <alignment horizontal="left"/>
    </xf>
    <xf numFmtId="42" fontId="0" fillId="0" borderId="72" xfId="0" applyNumberFormat="1" applyBorder="1" applyAlignment="1">
      <alignment horizontal="left"/>
    </xf>
    <xf numFmtId="42" fontId="0" fillId="0" borderId="32" xfId="0" applyNumberFormat="1" applyBorder="1" applyAlignment="1">
      <alignment horizontal="left"/>
    </xf>
    <xf numFmtId="42" fontId="0" fillId="3" borderId="3" xfId="0" applyNumberFormat="1" applyFill="1" applyBorder="1" applyAlignment="1">
      <alignment horizontal="center"/>
    </xf>
    <xf numFmtId="42" fontId="0" fillId="3" borderId="19" xfId="0" applyNumberFormat="1" applyFill="1" applyBorder="1" applyAlignment="1">
      <alignment horizontal="center"/>
    </xf>
    <xf numFmtId="42" fontId="0" fillId="0" borderId="23" xfId="0" applyNumberFormat="1" applyBorder="1" applyAlignment="1">
      <alignment horizontal="center"/>
    </xf>
    <xf numFmtId="42" fontId="0" fillId="14" borderId="3" xfId="0" applyNumberFormat="1" applyFill="1" applyBorder="1" applyAlignment="1">
      <alignment horizontal="center"/>
    </xf>
    <xf numFmtId="0" fontId="0" fillId="0" borderId="0" xfId="0" applyAlignment="1">
      <alignment horizontal="right"/>
    </xf>
    <xf numFmtId="42" fontId="3" fillId="0" borderId="76" xfId="0" applyNumberFormat="1" applyFont="1" applyBorder="1" applyAlignment="1">
      <alignment horizontal="center"/>
    </xf>
    <xf numFmtId="42" fontId="3" fillId="0" borderId="45" xfId="0" applyNumberFormat="1" applyFont="1" applyBorder="1" applyAlignment="1">
      <alignment horizontal="center"/>
    </xf>
    <xf numFmtId="42" fontId="10" fillId="0" borderId="8" xfId="0" quotePrefix="1" applyNumberFormat="1" applyFont="1" applyBorder="1" applyAlignment="1">
      <alignment horizontal="left"/>
    </xf>
    <xf numFmtId="42" fontId="3" fillId="0" borderId="26" xfId="0" applyNumberFormat="1" applyFont="1" applyBorder="1" applyAlignment="1">
      <alignment horizontal="center"/>
    </xf>
    <xf numFmtId="42" fontId="3" fillId="15" borderId="15" xfId="0" applyNumberFormat="1" applyFont="1" applyFill="1" applyBorder="1" applyAlignment="1">
      <alignment horizontal="center"/>
    </xf>
    <xf numFmtId="42" fontId="3" fillId="15" borderId="23" xfId="0" applyNumberFormat="1" applyFont="1" applyFill="1" applyBorder="1" applyAlignment="1">
      <alignment horizontal="center"/>
    </xf>
    <xf numFmtId="42" fontId="3" fillId="0" borderId="23" xfId="0" applyNumberFormat="1" applyFont="1" applyBorder="1" applyAlignment="1">
      <alignment horizontal="center"/>
    </xf>
    <xf numFmtId="0" fontId="0" fillId="22" borderId="0" xfId="0" applyFill="1" applyAlignment="1">
      <alignment horizontal="center"/>
    </xf>
    <xf numFmtId="42" fontId="3" fillId="22" borderId="0" xfId="0" applyNumberFormat="1" applyFont="1" applyFill="1" applyAlignment="1">
      <alignment horizontal="center"/>
    </xf>
    <xf numFmtId="0" fontId="0" fillId="22" borderId="19" xfId="0" applyFill="1" applyBorder="1" applyAlignment="1">
      <alignment horizontal="right"/>
    </xf>
    <xf numFmtId="42" fontId="3" fillId="22" borderId="19" xfId="0" applyNumberFormat="1" applyFont="1" applyFill="1" applyBorder="1" applyAlignment="1">
      <alignment horizontal="center"/>
    </xf>
    <xf numFmtId="42" fontId="3" fillId="22" borderId="28" xfId="0" applyNumberFormat="1" applyFont="1" applyFill="1" applyBorder="1" applyAlignment="1">
      <alignment horizontal="center"/>
    </xf>
    <xf numFmtId="0" fontId="27" fillId="0" borderId="0" xfId="0" applyFont="1" applyAlignment="1">
      <alignment horizontal="right"/>
    </xf>
    <xf numFmtId="0" fontId="0" fillId="15" borderId="76" xfId="0" applyFill="1" applyBorder="1" applyAlignment="1">
      <alignment horizontal="left"/>
    </xf>
    <xf numFmtId="0" fontId="0" fillId="15" borderId="72" xfId="0" applyFill="1" applyBorder="1" applyAlignment="1">
      <alignment horizontal="left"/>
    </xf>
    <xf numFmtId="0" fontId="0" fillId="15" borderId="14" xfId="0" applyFill="1" applyBorder="1" applyAlignment="1">
      <alignment horizontal="center"/>
    </xf>
    <xf numFmtId="42" fontId="11" fillId="15" borderId="24" xfId="0" applyNumberFormat="1" applyFont="1" applyFill="1" applyBorder="1" applyAlignment="1">
      <alignment horizontal="center"/>
    </xf>
    <xf numFmtId="0" fontId="0" fillId="15" borderId="3" xfId="0" applyFill="1" applyBorder="1" applyAlignment="1">
      <alignment horizontal="center"/>
    </xf>
    <xf numFmtId="42" fontId="0" fillId="0" borderId="3" xfId="0" applyNumberFormat="1" applyBorder="1" applyAlignment="1">
      <alignment horizontal="center"/>
    </xf>
    <xf numFmtId="42" fontId="0" fillId="0" borderId="24" xfId="0" applyNumberFormat="1" applyBorder="1" applyAlignment="1">
      <alignment horizontal="left"/>
    </xf>
    <xf numFmtId="42" fontId="10" fillId="0" borderId="0" xfId="0" quotePrefix="1" applyNumberFormat="1" applyFont="1" applyAlignment="1">
      <alignment horizontal="left"/>
    </xf>
    <xf numFmtId="42" fontId="0" fillId="15" borderId="45" xfId="0" applyNumberFormat="1" applyFill="1" applyBorder="1"/>
    <xf numFmtId="42" fontId="10" fillId="0" borderId="14" xfId="0" quotePrefix="1" applyNumberFormat="1" applyFont="1" applyBorder="1" applyAlignment="1">
      <alignment horizontal="left"/>
    </xf>
    <xf numFmtId="0" fontId="3" fillId="14" borderId="77" xfId="0" applyFont="1" applyFill="1" applyBorder="1" applyAlignment="1">
      <alignment horizontal="right"/>
    </xf>
    <xf numFmtId="0" fontId="0" fillId="15" borderId="56" xfId="0" applyFill="1" applyBorder="1" applyAlignment="1">
      <alignment horizontal="center"/>
    </xf>
    <xf numFmtId="0" fontId="0" fillId="15" borderId="54" xfId="0" applyFill="1" applyBorder="1" applyAlignment="1">
      <alignment horizontal="center"/>
    </xf>
    <xf numFmtId="0" fontId="0" fillId="15" borderId="8" xfId="0" applyFill="1" applyBorder="1" applyAlignment="1">
      <alignment horizontal="left"/>
    </xf>
    <xf numFmtId="0" fontId="0" fillId="15" borderId="9" xfId="0" applyFill="1" applyBorder="1" applyAlignment="1">
      <alignment horizontal="left"/>
    </xf>
    <xf numFmtId="42" fontId="0" fillId="22" borderId="47" xfId="0" applyNumberFormat="1" applyFill="1" applyBorder="1" applyAlignment="1">
      <alignment horizontal="center"/>
    </xf>
    <xf numFmtId="42" fontId="3" fillId="17" borderId="9" xfId="0" applyNumberFormat="1" applyFont="1" applyFill="1" applyBorder="1" applyAlignment="1">
      <alignment horizontal="center"/>
    </xf>
    <xf numFmtId="42" fontId="0" fillId="15" borderId="44" xfId="0" applyNumberFormat="1" applyFill="1" applyBorder="1" applyAlignment="1">
      <alignment horizontal="center"/>
    </xf>
    <xf numFmtId="42" fontId="3" fillId="14" borderId="49" xfId="0" applyNumberFormat="1" applyFont="1" applyFill="1" applyBorder="1" applyAlignment="1">
      <alignment horizontal="center"/>
    </xf>
    <xf numFmtId="42" fontId="3" fillId="0" borderId="31" xfId="0" quotePrefix="1" applyNumberFormat="1" applyFont="1" applyBorder="1" applyAlignment="1">
      <alignment horizontal="left"/>
    </xf>
    <xf numFmtId="42" fontId="3" fillId="0" borderId="58" xfId="0" quotePrefix="1" applyNumberFormat="1" applyFont="1" applyBorder="1" applyAlignment="1">
      <alignment horizontal="left"/>
    </xf>
    <xf numFmtId="42" fontId="3" fillId="0" borderId="8" xfId="0" applyNumberFormat="1" applyFont="1" applyBorder="1" applyAlignment="1">
      <alignment horizontal="left"/>
    </xf>
    <xf numFmtId="42" fontId="3" fillId="0" borderId="9" xfId="0" applyNumberFormat="1" applyFont="1" applyBorder="1" applyAlignment="1">
      <alignment horizontal="left"/>
    </xf>
    <xf numFmtId="42" fontId="3" fillId="0" borderId="26" xfId="0" applyNumberFormat="1" applyFont="1" applyBorder="1" applyAlignment="1">
      <alignment horizontal="left"/>
    </xf>
    <xf numFmtId="42" fontId="3" fillId="0" borderId="45" xfId="0" quotePrefix="1" applyNumberFormat="1" applyFont="1" applyBorder="1" applyAlignment="1">
      <alignment horizontal="left"/>
    </xf>
    <xf numFmtId="42" fontId="3" fillId="0" borderId="46" xfId="0" quotePrefix="1" applyNumberFormat="1" applyFont="1" applyBorder="1" applyAlignment="1">
      <alignment horizontal="left"/>
    </xf>
    <xf numFmtId="0" fontId="3" fillId="0" borderId="53" xfId="0" quotePrefix="1" applyFont="1" applyBorder="1" applyAlignment="1">
      <alignment horizontal="right"/>
    </xf>
    <xf numFmtId="0" fontId="0" fillId="22" borderId="24" xfId="0" applyFill="1" applyBorder="1"/>
    <xf numFmtId="0" fontId="3" fillId="5" borderId="3" xfId="0" applyFont="1" applyFill="1" applyBorder="1" applyAlignment="1">
      <alignment horizontal="center"/>
    </xf>
    <xf numFmtId="0" fontId="3" fillId="5" borderId="70" xfId="0" applyFont="1" applyFill="1" applyBorder="1" applyAlignment="1">
      <alignment horizontal="right"/>
    </xf>
    <xf numFmtId="42" fontId="3" fillId="5" borderId="3" xfId="0" applyNumberFormat="1" applyFont="1" applyFill="1" applyBorder="1" applyAlignment="1">
      <alignment horizontal="center"/>
    </xf>
    <xf numFmtId="42" fontId="3" fillId="5" borderId="48" xfId="0" applyNumberFormat="1" applyFont="1" applyFill="1" applyBorder="1" applyAlignment="1">
      <alignment horizontal="center"/>
    </xf>
    <xf numFmtId="0" fontId="0" fillId="15" borderId="0" xfId="0" applyFill="1" applyAlignment="1">
      <alignment horizontal="right"/>
    </xf>
    <xf numFmtId="42" fontId="0" fillId="22" borderId="0" xfId="0" applyNumberFormat="1" applyFill="1" applyAlignment="1">
      <alignment horizontal="center"/>
    </xf>
    <xf numFmtId="0" fontId="0" fillId="22" borderId="0" xfId="0" applyFill="1" applyAlignment="1">
      <alignment horizontal="left"/>
    </xf>
    <xf numFmtId="42" fontId="3" fillId="14" borderId="48" xfId="0" applyNumberFormat="1" applyFont="1" applyFill="1" applyBorder="1" applyAlignment="1">
      <alignment horizontal="left"/>
    </xf>
    <xf numFmtId="0" fontId="31" fillId="0" borderId="0" xfId="0" applyFont="1"/>
    <xf numFmtId="44" fontId="39" fillId="3" borderId="24" xfId="0" applyNumberFormat="1" applyFont="1" applyFill="1" applyBorder="1" applyAlignment="1">
      <alignment horizontal="center"/>
    </xf>
    <xf numFmtId="0" fontId="3" fillId="0" borderId="0" xfId="0" applyFont="1"/>
    <xf numFmtId="42" fontId="3" fillId="0" borderId="52" xfId="0" applyNumberFormat="1" applyFont="1" applyBorder="1" applyAlignment="1">
      <alignment horizontal="center"/>
    </xf>
    <xf numFmtId="42" fontId="10" fillId="0" borderId="24" xfId="0" quotePrefix="1" applyNumberFormat="1" applyFont="1" applyBorder="1" applyAlignment="1">
      <alignment horizontal="left"/>
    </xf>
    <xf numFmtId="42" fontId="0" fillId="15" borderId="19" xfId="0" applyNumberFormat="1" applyFill="1" applyBorder="1" applyAlignment="1">
      <alignment horizontal="right"/>
    </xf>
    <xf numFmtId="42" fontId="3" fillId="0" borderId="19" xfId="0" applyNumberFormat="1" applyFont="1" applyBorder="1" applyAlignment="1">
      <alignment horizontal="center"/>
    </xf>
    <xf numFmtId="42" fontId="3" fillId="0" borderId="3" xfId="0" applyNumberFormat="1" applyFont="1" applyBorder="1" applyAlignment="1">
      <alignment horizontal="center"/>
    </xf>
    <xf numFmtId="0" fontId="0" fillId="6" borderId="48" xfId="0" applyFill="1" applyBorder="1" applyAlignment="1">
      <alignment horizontal="center"/>
    </xf>
    <xf numFmtId="0" fontId="7" fillId="6" borderId="19" xfId="0" applyFont="1" applyFill="1" applyBorder="1" applyAlignment="1">
      <alignment horizontal="left"/>
    </xf>
    <xf numFmtId="42" fontId="0" fillId="6" borderId="19" xfId="0" applyNumberFormat="1" applyFill="1" applyBorder="1" applyAlignment="1">
      <alignment horizontal="center"/>
    </xf>
    <xf numFmtId="42" fontId="0" fillId="6" borderId="19" xfId="0" applyNumberFormat="1" applyFill="1" applyBorder="1" applyAlignment="1">
      <alignment horizontal="left"/>
    </xf>
    <xf numFmtId="42" fontId="0" fillId="6" borderId="28" xfId="0" applyNumberFormat="1" applyFill="1" applyBorder="1" applyAlignment="1">
      <alignment horizontal="center"/>
    </xf>
    <xf numFmtId="0" fontId="3" fillId="23" borderId="3" xfId="0" applyFont="1" applyFill="1" applyBorder="1" applyAlignment="1">
      <alignment horizontal="center"/>
    </xf>
    <xf numFmtId="0" fontId="3" fillId="23" borderId="19" xfId="0" applyFont="1" applyFill="1" applyBorder="1" applyAlignment="1">
      <alignment horizontal="right"/>
    </xf>
    <xf numFmtId="42" fontId="3" fillId="23" borderId="3" xfId="0" applyNumberFormat="1" applyFont="1" applyFill="1" applyBorder="1" applyAlignment="1">
      <alignment horizontal="center"/>
    </xf>
    <xf numFmtId="42" fontId="3" fillId="23" borderId="19" xfId="0" applyNumberFormat="1" applyFont="1" applyFill="1" applyBorder="1" applyAlignment="1">
      <alignment horizontal="center"/>
    </xf>
    <xf numFmtId="0" fontId="0" fillId="22" borderId="14" xfId="0" applyFill="1" applyBorder="1" applyAlignment="1">
      <alignment horizontal="center"/>
    </xf>
    <xf numFmtId="42" fontId="32" fillId="22" borderId="0" xfId="0" applyNumberFormat="1" applyFont="1" applyFill="1"/>
    <xf numFmtId="42" fontId="0" fillId="22" borderId="14" xfId="0" applyNumberFormat="1" applyFill="1" applyBorder="1" applyAlignment="1">
      <alignment horizontal="center"/>
    </xf>
    <xf numFmtId="42" fontId="3" fillId="22" borderId="30" xfId="0" applyNumberFormat="1" applyFont="1" applyFill="1" applyBorder="1" applyAlignment="1">
      <alignment horizontal="center"/>
    </xf>
    <xf numFmtId="42" fontId="3" fillId="22" borderId="14" xfId="0" applyNumberFormat="1" applyFont="1" applyFill="1" applyBorder="1" applyAlignment="1">
      <alignment horizontal="center"/>
    </xf>
    <xf numFmtId="0" fontId="0" fillId="15" borderId="3" xfId="0" applyFill="1" applyBorder="1" applyAlignment="1">
      <alignment horizontal="right"/>
    </xf>
    <xf numFmtId="0" fontId="10" fillId="0" borderId="0" xfId="0" quotePrefix="1" applyFont="1"/>
    <xf numFmtId="42" fontId="5" fillId="22" borderId="8" xfId="0" quotePrefix="1" applyNumberFormat="1" applyFont="1" applyFill="1" applyBorder="1" applyAlignment="1">
      <alignment horizontal="left"/>
    </xf>
    <xf numFmtId="42" fontId="10" fillId="22" borderId="9" xfId="0" applyNumberFormat="1" applyFont="1" applyFill="1" applyBorder="1" applyAlignment="1">
      <alignment horizontal="left"/>
    </xf>
    <xf numFmtId="42" fontId="10" fillId="22" borderId="26" xfId="0" applyNumberFormat="1" applyFont="1" applyFill="1" applyBorder="1" applyAlignment="1">
      <alignment horizontal="left"/>
    </xf>
    <xf numFmtId="42" fontId="0" fillId="0" borderId="23" xfId="0" quotePrefix="1" applyNumberFormat="1" applyBorder="1" applyAlignment="1">
      <alignment horizontal="left"/>
    </xf>
    <xf numFmtId="42" fontId="10" fillId="0" borderId="3" xfId="0" applyNumberFormat="1" applyFont="1" applyBorder="1" applyAlignment="1">
      <alignment horizontal="left"/>
    </xf>
    <xf numFmtId="42" fontId="29" fillId="25" borderId="11" xfId="0" applyNumberFormat="1" applyFont="1" applyFill="1" applyBorder="1" applyAlignment="1">
      <alignment horizontal="center"/>
    </xf>
    <xf numFmtId="42" fontId="29" fillId="25" borderId="11" xfId="0" applyNumberFormat="1" applyFont="1" applyFill="1" applyBorder="1" applyAlignment="1">
      <alignment horizontal="left"/>
    </xf>
    <xf numFmtId="42" fontId="29" fillId="25" borderId="12" xfId="0" applyNumberFormat="1" applyFont="1" applyFill="1" applyBorder="1" applyAlignment="1">
      <alignment horizontal="center"/>
    </xf>
    <xf numFmtId="42" fontId="29" fillId="25" borderId="20" xfId="0" applyNumberFormat="1" applyFont="1" applyFill="1" applyBorder="1" applyAlignment="1">
      <alignment horizontal="center"/>
    </xf>
    <xf numFmtId="42" fontId="29" fillId="25" borderId="20" xfId="0" applyNumberFormat="1" applyFont="1" applyFill="1" applyBorder="1" applyAlignment="1">
      <alignment horizontal="left"/>
    </xf>
    <xf numFmtId="42" fontId="29" fillId="25" borderId="21" xfId="0" applyNumberFormat="1" applyFont="1" applyFill="1" applyBorder="1" applyAlignment="1">
      <alignment horizontal="center"/>
    </xf>
    <xf numFmtId="0" fontId="29" fillId="25" borderId="73" xfId="0" applyFont="1" applyFill="1" applyBorder="1" applyAlignment="1">
      <alignment horizontal="right"/>
    </xf>
    <xf numFmtId="0" fontId="29" fillId="25" borderId="68" xfId="0" applyFont="1" applyFill="1" applyBorder="1" applyAlignment="1">
      <alignment horizontal="right"/>
    </xf>
    <xf numFmtId="0" fontId="29" fillId="25" borderId="8" xfId="0" applyFont="1" applyFill="1" applyBorder="1" applyAlignment="1">
      <alignment horizontal="center"/>
    </xf>
    <xf numFmtId="0" fontId="29" fillId="25" borderId="26" xfId="0" applyFont="1" applyFill="1" applyBorder="1" applyAlignment="1">
      <alignment horizontal="center"/>
    </xf>
    <xf numFmtId="0" fontId="29" fillId="3" borderId="23" xfId="0" applyFont="1" applyFill="1" applyBorder="1" applyAlignment="1">
      <alignment horizontal="center"/>
    </xf>
    <xf numFmtId="44" fontId="3" fillId="0" borderId="48" xfId="0" applyNumberFormat="1" applyFont="1" applyBorder="1"/>
    <xf numFmtId="42" fontId="0" fillId="0" borderId="8" xfId="0" applyNumberFormat="1" applyBorder="1" applyAlignment="1">
      <alignment horizontal="left"/>
    </xf>
    <xf numFmtId="42" fontId="0" fillId="0" borderId="9" xfId="0" applyNumberFormat="1" applyBorder="1" applyAlignment="1">
      <alignment horizontal="left"/>
    </xf>
    <xf numFmtId="42" fontId="0" fillId="22" borderId="9" xfId="0" applyNumberFormat="1" applyFill="1" applyBorder="1" applyAlignment="1">
      <alignment horizontal="left"/>
    </xf>
    <xf numFmtId="42" fontId="0" fillId="0" borderId="10" xfId="0" applyNumberFormat="1" applyBorder="1" applyAlignment="1">
      <alignment horizontal="left"/>
    </xf>
    <xf numFmtId="42" fontId="0" fillId="15" borderId="56" xfId="0" applyNumberFormat="1" applyFill="1" applyBorder="1"/>
    <xf numFmtId="42" fontId="0" fillId="15" borderId="3" xfId="0" applyNumberFormat="1" applyFill="1" applyBorder="1" applyAlignment="1">
      <alignment horizontal="center"/>
    </xf>
    <xf numFmtId="42" fontId="0" fillId="15" borderId="24" xfId="0" applyNumberFormat="1" applyFill="1" applyBorder="1" applyAlignment="1">
      <alignment horizontal="center"/>
    </xf>
    <xf numFmtId="42" fontId="0" fillId="0" borderId="10" xfId="0" applyNumberFormat="1" applyBorder="1" applyAlignment="1">
      <alignment horizontal="center"/>
    </xf>
    <xf numFmtId="42" fontId="0" fillId="0" borderId="9" xfId="0" applyNumberFormat="1" applyBorder="1" applyAlignment="1">
      <alignment horizontal="center"/>
    </xf>
    <xf numFmtId="42" fontId="0" fillId="22" borderId="10" xfId="0" applyNumberFormat="1" applyFill="1" applyBorder="1" applyAlignment="1">
      <alignment horizontal="center"/>
    </xf>
    <xf numFmtId="42" fontId="0" fillId="0" borderId="33" xfId="0" applyNumberFormat="1" applyBorder="1"/>
    <xf numFmtId="42" fontId="0" fillId="15" borderId="12" xfId="0" applyNumberFormat="1" applyFill="1" applyBorder="1"/>
    <xf numFmtId="42" fontId="0" fillId="0" borderId="33" xfId="0" applyNumberFormat="1" applyBorder="1" applyAlignment="1">
      <alignment horizontal="right"/>
    </xf>
    <xf numFmtId="42" fontId="0" fillId="15" borderId="35" xfId="0" applyNumberFormat="1" applyFill="1" applyBorder="1"/>
    <xf numFmtId="42" fontId="0" fillId="0" borderId="21" xfId="0" applyNumberFormat="1" applyBorder="1" applyAlignment="1">
      <alignment horizontal="center"/>
    </xf>
    <xf numFmtId="0" fontId="0" fillId="6" borderId="3" xfId="0" applyFill="1" applyBorder="1" applyAlignment="1">
      <alignment horizontal="center" vertical="center"/>
    </xf>
    <xf numFmtId="42" fontId="33" fillId="17" borderId="30" xfId="0" applyNumberFormat="1" applyFont="1" applyFill="1" applyBorder="1" applyAlignment="1">
      <alignment horizontal="center"/>
    </xf>
    <xf numFmtId="0" fontId="0" fillId="22" borderId="0" xfId="0" applyFill="1" applyAlignment="1">
      <alignment vertical="center"/>
    </xf>
    <xf numFmtId="0" fontId="15" fillId="22" borderId="3" xfId="0" applyFont="1" applyFill="1" applyBorder="1" applyAlignment="1">
      <alignment vertical="center"/>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9" fontId="0" fillId="0" borderId="35" xfId="0" applyNumberFormat="1" applyBorder="1" applyAlignment="1">
      <alignment horizontal="center" vertical="center"/>
    </xf>
    <xf numFmtId="9" fontId="0" fillId="0" borderId="38" xfId="0" applyNumberFormat="1" applyBorder="1" applyAlignment="1">
      <alignment horizontal="center" vertical="center"/>
    </xf>
    <xf numFmtId="9" fontId="0" fillId="0" borderId="37" xfId="0" applyNumberFormat="1" applyBorder="1" applyAlignment="1">
      <alignment horizontal="center" vertical="center"/>
    </xf>
    <xf numFmtId="9" fontId="0" fillId="0" borderId="39" xfId="0" applyNumberFormat="1" applyBorder="1" applyAlignment="1">
      <alignment horizontal="center" vertical="center"/>
    </xf>
    <xf numFmtId="9" fontId="0" fillId="0" borderId="67" xfId="0" applyNumberFormat="1" applyBorder="1" applyAlignment="1">
      <alignment horizontal="center" vertical="center"/>
    </xf>
    <xf numFmtId="42" fontId="3" fillId="15" borderId="19" xfId="0" applyNumberFormat="1" applyFont="1" applyFill="1" applyBorder="1" applyAlignment="1">
      <alignment horizontal="center" vertical="center"/>
    </xf>
    <xf numFmtId="0" fontId="11" fillId="22" borderId="36" xfId="0" applyFont="1" applyFill="1" applyBorder="1" applyAlignment="1">
      <alignment horizontal="center" vertical="center" textRotation="90"/>
    </xf>
    <xf numFmtId="0" fontId="37" fillId="6" borderId="19" xfId="0" applyFont="1" applyFill="1" applyBorder="1" applyAlignment="1">
      <alignment horizontal="left" vertical="center" wrapText="1"/>
    </xf>
    <xf numFmtId="0" fontId="9" fillId="0" borderId="22" xfId="0" applyFont="1" applyBorder="1" applyAlignment="1">
      <alignment vertical="center" wrapText="1"/>
    </xf>
    <xf numFmtId="0" fontId="0" fillId="0" borderId="50" xfId="0" applyBorder="1" applyAlignment="1">
      <alignment horizontal="center" vertical="center"/>
    </xf>
    <xf numFmtId="0" fontId="9" fillId="4" borderId="19" xfId="0" applyFont="1" applyFill="1" applyBorder="1" applyAlignment="1">
      <alignment horizontal="left" vertical="center" wrapText="1"/>
    </xf>
    <xf numFmtId="0" fontId="37" fillId="20" borderId="48" xfId="0" applyFont="1" applyFill="1" applyBorder="1" applyAlignment="1">
      <alignment horizontal="left"/>
    </xf>
    <xf numFmtId="0" fontId="3" fillId="15" borderId="71" xfId="0" applyFont="1" applyFill="1" applyBorder="1" applyAlignment="1">
      <alignment horizontal="center" vertical="center"/>
    </xf>
    <xf numFmtId="0" fontId="2" fillId="14" borderId="78" xfId="0" applyFont="1" applyFill="1" applyBorder="1" applyAlignment="1">
      <alignment horizontal="center" vertical="center"/>
    </xf>
    <xf numFmtId="0" fontId="0" fillId="15" borderId="1" xfId="0" applyFill="1" applyBorder="1" applyAlignment="1">
      <alignment horizontal="left" vertical="center" wrapText="1"/>
    </xf>
    <xf numFmtId="0" fontId="3" fillId="14" borderId="67" xfId="0" applyFont="1" applyFill="1" applyBorder="1" applyAlignment="1">
      <alignment horizontal="center" vertical="center"/>
    </xf>
    <xf numFmtId="0" fontId="3" fillId="15" borderId="34" xfId="0" applyFont="1" applyFill="1" applyBorder="1" applyAlignment="1">
      <alignment horizontal="center" vertical="center"/>
    </xf>
    <xf numFmtId="0" fontId="3" fillId="15" borderId="34" xfId="0" applyFont="1" applyFill="1" applyBorder="1" applyAlignment="1">
      <alignment horizontal="center" vertical="center" wrapText="1"/>
    </xf>
    <xf numFmtId="0" fontId="3" fillId="15" borderId="35" xfId="0" applyFont="1" applyFill="1" applyBorder="1" applyAlignment="1">
      <alignment horizontal="center" vertical="center"/>
    </xf>
    <xf numFmtId="0" fontId="0" fillId="15" borderId="46" xfId="0" applyFill="1" applyBorder="1" applyAlignment="1">
      <alignment horizontal="center" vertical="center"/>
    </xf>
    <xf numFmtId="42" fontId="2" fillId="14" borderId="24" xfId="0" applyNumberFormat="1" applyFont="1" applyFill="1" applyBorder="1" applyAlignment="1">
      <alignment horizontal="center" vertical="center"/>
    </xf>
    <xf numFmtId="42" fontId="3" fillId="15" borderId="54" xfId="0" applyNumberFormat="1" applyFont="1" applyFill="1" applyBorder="1" applyAlignment="1">
      <alignment horizontal="left" vertical="center" wrapText="1"/>
    </xf>
    <xf numFmtId="42" fontId="33" fillId="17" borderId="54" xfId="0" applyNumberFormat="1" applyFont="1" applyFill="1" applyBorder="1" applyAlignment="1">
      <alignment horizontal="center" vertical="center"/>
    </xf>
    <xf numFmtId="42" fontId="11" fillId="15" borderId="54" xfId="0" applyNumberFormat="1" applyFont="1" applyFill="1" applyBorder="1" applyAlignment="1">
      <alignment horizontal="center" vertical="center"/>
    </xf>
    <xf numFmtId="42" fontId="2" fillId="14" borderId="52" xfId="0" applyNumberFormat="1" applyFont="1" applyFill="1" applyBorder="1" applyAlignment="1">
      <alignment horizontal="center" vertical="center"/>
    </xf>
    <xf numFmtId="42" fontId="11" fillId="15" borderId="54" xfId="0" applyNumberFormat="1" applyFont="1" applyFill="1" applyBorder="1" applyAlignment="1">
      <alignment horizontal="left" vertical="center" wrapText="1"/>
    </xf>
    <xf numFmtId="0" fontId="11" fillId="0" borderId="22" xfId="0" applyFont="1" applyBorder="1" applyAlignment="1">
      <alignment horizontal="center" vertical="center"/>
    </xf>
    <xf numFmtId="42" fontId="11" fillId="0" borderId="22" xfId="0" applyNumberFormat="1" applyFont="1" applyBorder="1" applyAlignment="1">
      <alignment horizontal="center" vertical="center"/>
    </xf>
    <xf numFmtId="0" fontId="3" fillId="15" borderId="43" xfId="0" applyFont="1" applyFill="1" applyBorder="1" applyAlignment="1">
      <alignment horizontal="center" vertical="center"/>
    </xf>
    <xf numFmtId="42" fontId="3" fillId="15" borderId="53" xfId="0" applyNumberFormat="1" applyFont="1" applyFill="1" applyBorder="1" applyAlignment="1">
      <alignment horizontal="center" vertical="center"/>
    </xf>
    <xf numFmtId="0" fontId="3" fillId="0" borderId="65" xfId="0" quotePrefix="1" applyFont="1" applyBorder="1" applyAlignment="1">
      <alignment horizontal="center" vertical="center"/>
    </xf>
    <xf numFmtId="42" fontId="3" fillId="22" borderId="24" xfId="0" applyNumberFormat="1" applyFont="1" applyFill="1" applyBorder="1" applyAlignment="1">
      <alignment horizontal="center" vertical="center"/>
    </xf>
    <xf numFmtId="0" fontId="70" fillId="22" borderId="0" xfId="0" quotePrefix="1" applyFont="1" applyFill="1" applyAlignment="1">
      <alignment horizontal="left" vertical="center"/>
    </xf>
    <xf numFmtId="0" fontId="3" fillId="0" borderId="63" xfId="0" quotePrefix="1" applyFont="1" applyBorder="1" applyAlignment="1">
      <alignment horizontal="center" vertical="center" wrapText="1"/>
    </xf>
    <xf numFmtId="42" fontId="3" fillId="12" borderId="24" xfId="0" applyNumberFormat="1" applyFont="1" applyFill="1" applyBorder="1" applyAlignment="1">
      <alignment horizontal="center" vertical="center" wrapText="1"/>
    </xf>
    <xf numFmtId="0" fontId="9" fillId="0" borderId="51" xfId="0" applyFont="1" applyBorder="1" applyAlignment="1">
      <alignment horizontal="left" vertical="center" wrapText="1"/>
    </xf>
    <xf numFmtId="0" fontId="0" fillId="0" borderId="0" xfId="0" applyAlignment="1">
      <alignment vertical="top" wrapText="1"/>
    </xf>
    <xf numFmtId="0" fontId="37" fillId="20" borderId="19" xfId="0" applyFont="1" applyFill="1" applyBorder="1"/>
    <xf numFmtId="0" fontId="37" fillId="20" borderId="19" xfId="0" applyFont="1" applyFill="1" applyBorder="1" applyAlignment="1">
      <alignment horizontal="left"/>
    </xf>
    <xf numFmtId="0" fontId="2" fillId="20" borderId="19" xfId="0" applyFont="1" applyFill="1" applyBorder="1" applyAlignment="1">
      <alignment horizontal="left"/>
    </xf>
    <xf numFmtId="0" fontId="2" fillId="20" borderId="28" xfId="0" applyFont="1" applyFill="1" applyBorder="1" applyAlignment="1">
      <alignment horizontal="left"/>
    </xf>
    <xf numFmtId="0" fontId="37" fillId="20" borderId="48" xfId="0" applyFont="1" applyFill="1" applyBorder="1" applyAlignment="1">
      <alignment horizontal="center"/>
    </xf>
    <xf numFmtId="0" fontId="0" fillId="20" borderId="19" xfId="0" applyFill="1" applyBorder="1" applyAlignment="1">
      <alignment horizontal="center"/>
    </xf>
    <xf numFmtId="0" fontId="0" fillId="20" borderId="28" xfId="0" applyFill="1" applyBorder="1" applyAlignment="1">
      <alignment horizontal="center"/>
    </xf>
    <xf numFmtId="0" fontId="37" fillId="22" borderId="0" xfId="0" applyFont="1" applyFill="1" applyAlignment="1">
      <alignment horizontal="center"/>
    </xf>
    <xf numFmtId="0" fontId="7" fillId="22" borderId="0" xfId="0" applyFont="1" applyFill="1" applyAlignment="1">
      <alignment horizontal="left"/>
    </xf>
    <xf numFmtId="0" fontId="0" fillId="22" borderId="3" xfId="0" applyFill="1" applyBorder="1" applyAlignment="1">
      <alignment horizontal="center" vertical="center"/>
    </xf>
    <xf numFmtId="0" fontId="0" fillId="22" borderId="0" xfId="0" applyFill="1" applyAlignment="1">
      <alignment vertical="top"/>
    </xf>
    <xf numFmtId="0" fontId="2" fillId="20" borderId="19" xfId="0" applyFont="1" applyFill="1" applyBorder="1"/>
    <xf numFmtId="0" fontId="2" fillId="20" borderId="28" xfId="0" applyFont="1" applyFill="1" applyBorder="1"/>
    <xf numFmtId="0" fontId="19" fillId="2" borderId="3" xfId="0" applyFont="1" applyFill="1" applyBorder="1" applyAlignment="1">
      <alignment horizontal="center" vertical="center"/>
    </xf>
    <xf numFmtId="0" fontId="0" fillId="20" borderId="28" xfId="0" applyFill="1" applyBorder="1" applyAlignment="1">
      <alignment horizontal="center" vertical="center"/>
    </xf>
    <xf numFmtId="0" fontId="3" fillId="22" borderId="44" xfId="0" applyFont="1" applyFill="1" applyBorder="1" applyAlignment="1">
      <alignment horizontal="center" vertical="center"/>
    </xf>
    <xf numFmtId="0" fontId="37" fillId="22" borderId="0" xfId="0" quotePrefix="1" applyFont="1" applyFill="1" applyAlignment="1">
      <alignment vertical="center" wrapText="1"/>
    </xf>
    <xf numFmtId="0" fontId="43" fillId="22" borderId="0" xfId="0" quotePrefix="1" applyFont="1" applyFill="1" applyAlignment="1">
      <alignment horizontal="left" vertical="center" wrapText="1"/>
    </xf>
    <xf numFmtId="0" fontId="37" fillId="20" borderId="19" xfId="0" quotePrefix="1" applyFont="1" applyFill="1" applyBorder="1" applyAlignment="1">
      <alignment vertical="center" wrapText="1"/>
    </xf>
    <xf numFmtId="0" fontId="43" fillId="20" borderId="28" xfId="0" quotePrefix="1" applyFont="1" applyFill="1" applyBorder="1" applyAlignment="1">
      <alignment horizontal="left" vertical="center" wrapText="1"/>
    </xf>
    <xf numFmtId="0" fontId="90" fillId="20" borderId="48" xfId="0" applyFont="1" applyFill="1" applyBorder="1"/>
    <xf numFmtId="0" fontId="90" fillId="20" borderId="19" xfId="0" applyFont="1" applyFill="1" applyBorder="1" applyAlignment="1">
      <alignment horizontal="center"/>
    </xf>
    <xf numFmtId="0" fontId="90" fillId="20" borderId="28" xfId="0" applyFont="1" applyFill="1" applyBorder="1" applyAlignment="1">
      <alignment horizontal="center"/>
    </xf>
    <xf numFmtId="0" fontId="0" fillId="0" borderId="55" xfId="0" applyBorder="1" applyAlignment="1">
      <alignment vertical="top" wrapText="1"/>
    </xf>
    <xf numFmtId="0" fontId="0" fillId="0" borderId="53" xfId="0" applyBorder="1" applyAlignment="1">
      <alignment vertical="top" wrapText="1"/>
    </xf>
    <xf numFmtId="44" fontId="9" fillId="0" borderId="8" xfId="0" applyNumberFormat="1" applyFont="1" applyBorder="1" applyAlignment="1">
      <alignment vertical="center"/>
    </xf>
    <xf numFmtId="0" fontId="0" fillId="0" borderId="57" xfId="0" applyBorder="1" applyAlignment="1">
      <alignment vertical="top" wrapText="1"/>
    </xf>
    <xf numFmtId="168" fontId="25" fillId="0" borderId="9" xfId="0" applyNumberFormat="1" applyFont="1" applyBorder="1" applyAlignment="1">
      <alignment horizontal="center" vertical="center"/>
    </xf>
    <xf numFmtId="42" fontId="71" fillId="0" borderId="26" xfId="0" applyNumberFormat="1" applyFont="1" applyBorder="1" applyAlignment="1">
      <alignment horizontal="center" vertical="center"/>
    </xf>
    <xf numFmtId="0" fontId="0" fillId="0" borderId="8" xfId="0" applyBorder="1" applyAlignment="1">
      <alignment vertical="center" wrapText="1"/>
    </xf>
    <xf numFmtId="0" fontId="0" fillId="0" borderId="26" xfId="0" applyBorder="1" applyAlignment="1">
      <alignment vertical="center" wrapText="1"/>
    </xf>
    <xf numFmtId="0" fontId="0" fillId="22" borderId="6" xfId="0" quotePrefix="1" applyFill="1" applyBorder="1" applyAlignment="1">
      <alignment vertical="center" wrapText="1"/>
    </xf>
    <xf numFmtId="0" fontId="0" fillId="0" borderId="4" xfId="0" quotePrefix="1" applyBorder="1" applyAlignment="1">
      <alignment vertical="center" wrapText="1"/>
    </xf>
    <xf numFmtId="0" fontId="0" fillId="0" borderId="53" xfId="0" applyBorder="1" applyAlignment="1">
      <alignment horizontal="centerContinuous" vertical="center"/>
    </xf>
    <xf numFmtId="0" fontId="0" fillId="17" borderId="0" xfId="0" applyFill="1" applyAlignment="1">
      <alignment vertical="center"/>
    </xf>
    <xf numFmtId="0" fontId="0" fillId="17" borderId="0" xfId="0" applyFill="1" applyAlignment="1">
      <alignment horizontal="left" vertical="center"/>
    </xf>
    <xf numFmtId="0" fontId="0" fillId="15" borderId="33" xfId="0" quotePrefix="1" applyFill="1" applyBorder="1" applyAlignment="1">
      <alignment horizontal="center" vertical="center" wrapText="1"/>
    </xf>
    <xf numFmtId="0" fontId="0" fillId="15" borderId="73" xfId="0" quotePrefix="1" applyFill="1" applyBorder="1" applyAlignment="1">
      <alignment horizontal="left" vertical="center" wrapText="1"/>
    </xf>
    <xf numFmtId="0" fontId="0" fillId="15" borderId="34" xfId="0" quotePrefix="1" applyFill="1" applyBorder="1" applyAlignment="1">
      <alignment horizontal="center" vertical="center" wrapText="1"/>
    </xf>
    <xf numFmtId="0" fontId="0" fillId="15" borderId="7" xfId="0" quotePrefix="1" applyFill="1" applyBorder="1" applyAlignment="1">
      <alignment horizontal="left" vertical="center" wrapText="1"/>
    </xf>
    <xf numFmtId="0" fontId="0" fillId="15" borderId="7" xfId="0" quotePrefix="1" applyFill="1" applyBorder="1" applyAlignment="1">
      <alignment vertical="center" wrapText="1"/>
    </xf>
    <xf numFmtId="0" fontId="0" fillId="15" borderId="34" xfId="0" quotePrefix="1" applyFill="1" applyBorder="1" applyAlignment="1">
      <alignment horizontal="center" wrapText="1"/>
    </xf>
    <xf numFmtId="0" fontId="0" fillId="15" borderId="35" xfId="0" quotePrefix="1" applyFill="1" applyBorder="1" applyAlignment="1">
      <alignment horizontal="center" vertical="center" wrapText="1"/>
    </xf>
    <xf numFmtId="0" fontId="0" fillId="15" borderId="68" xfId="0" quotePrefix="1" applyFill="1" applyBorder="1" applyAlignment="1">
      <alignment vertical="center" wrapText="1"/>
    </xf>
    <xf numFmtId="0" fontId="0" fillId="15" borderId="34" xfId="0" applyFill="1" applyBorder="1" applyAlignment="1">
      <alignment horizontal="center" vertical="center"/>
    </xf>
    <xf numFmtId="0" fontId="9" fillId="15" borderId="34" xfId="0" applyFont="1" applyFill="1" applyBorder="1" applyAlignment="1">
      <alignment horizontal="center" vertical="center" wrapText="1"/>
    </xf>
    <xf numFmtId="0" fontId="0" fillId="15" borderId="35" xfId="0" applyFill="1" applyBorder="1" applyAlignment="1">
      <alignment horizontal="center" vertical="center"/>
    </xf>
    <xf numFmtId="0" fontId="24" fillId="0" borderId="19" xfId="0" applyFont="1" applyBorder="1" applyAlignment="1">
      <alignment horizontal="left" vertical="center" wrapText="1"/>
    </xf>
    <xf numFmtId="0" fontId="0" fillId="0" borderId="2" xfId="0" applyBorder="1" applyAlignment="1">
      <alignment vertical="center" wrapText="1"/>
    </xf>
    <xf numFmtId="42" fontId="3" fillId="12" borderId="14" xfId="0" applyNumberFormat="1" applyFont="1" applyFill="1" applyBorder="1" applyAlignment="1">
      <alignment horizontal="center" vertical="center"/>
    </xf>
    <xf numFmtId="0" fontId="0" fillId="0" borderId="27" xfId="0" applyBorder="1" applyAlignment="1">
      <alignment vertical="center" wrapText="1"/>
    </xf>
    <xf numFmtId="42" fontId="10" fillId="17" borderId="0" xfId="0" applyNumberFormat="1" applyFont="1" applyFill="1" applyAlignment="1">
      <alignment horizontal="center" vertical="center"/>
    </xf>
    <xf numFmtId="42" fontId="10" fillId="17" borderId="14" xfId="0" applyNumberFormat="1" applyFont="1" applyFill="1" applyBorder="1" applyAlignment="1">
      <alignment horizontal="center" vertical="center"/>
    </xf>
    <xf numFmtId="42" fontId="3" fillId="12" borderId="55" xfId="0" applyNumberFormat="1" applyFont="1" applyFill="1" applyBorder="1" applyAlignment="1">
      <alignment horizontal="center" vertical="center"/>
    </xf>
    <xf numFmtId="42" fontId="32" fillId="14" borderId="24" xfId="0" applyNumberFormat="1" applyFont="1" applyFill="1" applyBorder="1" applyAlignment="1">
      <alignment horizontal="center" vertical="center"/>
    </xf>
    <xf numFmtId="42" fontId="3" fillId="15" borderId="48" xfId="0" applyNumberFormat="1" applyFont="1" applyFill="1" applyBorder="1" applyAlignment="1">
      <alignment horizontal="center" vertical="center"/>
    </xf>
    <xf numFmtId="42" fontId="2" fillId="14" borderId="48" xfId="0" applyNumberFormat="1" applyFont="1" applyFill="1" applyBorder="1" applyAlignment="1">
      <alignment horizontal="center" vertical="center"/>
    </xf>
    <xf numFmtId="44" fontId="0" fillId="15" borderId="76" xfId="0" applyNumberFormat="1" applyFill="1" applyBorder="1" applyAlignment="1">
      <alignment horizontal="center" vertical="center"/>
    </xf>
    <xf numFmtId="44" fontId="3" fillId="3" borderId="19" xfId="0" applyNumberFormat="1" applyFont="1" applyFill="1" applyBorder="1" applyAlignment="1">
      <alignment horizontal="center" vertical="center"/>
    </xf>
    <xf numFmtId="44" fontId="3" fillId="12" borderId="53" xfId="0" applyNumberFormat="1" applyFont="1" applyFill="1" applyBorder="1" applyAlignment="1">
      <alignment horizontal="center" vertical="center"/>
    </xf>
    <xf numFmtId="44" fontId="3" fillId="12" borderId="53" xfId="0" applyNumberFormat="1" applyFont="1" applyFill="1" applyBorder="1" applyAlignment="1">
      <alignment vertical="center"/>
    </xf>
    <xf numFmtId="44" fontId="3" fillId="12" borderId="54" xfId="0" applyNumberFormat="1" applyFont="1" applyFill="1" applyBorder="1" applyAlignment="1">
      <alignment vertical="center"/>
    </xf>
    <xf numFmtId="44" fontId="3" fillId="12" borderId="71" xfId="0" applyNumberFormat="1" applyFont="1" applyFill="1" applyBorder="1" applyAlignment="1">
      <alignment horizontal="center" vertical="center"/>
    </xf>
    <xf numFmtId="44" fontId="3" fillId="12" borderId="71" xfId="0" applyNumberFormat="1" applyFont="1" applyFill="1" applyBorder="1" applyAlignment="1">
      <alignment vertical="center"/>
    </xf>
    <xf numFmtId="44" fontId="3" fillId="12" borderId="46" xfId="0" applyNumberFormat="1" applyFont="1" applyFill="1" applyBorder="1" applyAlignment="1">
      <alignment vertical="center"/>
    </xf>
    <xf numFmtId="44" fontId="44" fillId="17" borderId="48" xfId="0" applyNumberFormat="1" applyFont="1" applyFill="1" applyBorder="1" applyAlignment="1">
      <alignment horizontal="center" vertical="center"/>
    </xf>
    <xf numFmtId="0" fontId="0" fillId="0" borderId="16" xfId="0" quotePrefix="1" applyBorder="1" applyAlignment="1">
      <alignment vertical="center" wrapText="1"/>
    </xf>
    <xf numFmtId="0" fontId="0" fillId="0" borderId="75" xfId="0" quotePrefix="1" applyBorder="1" applyAlignment="1">
      <alignment vertical="center" wrapText="1"/>
    </xf>
    <xf numFmtId="0" fontId="0" fillId="0" borderId="75" xfId="0" quotePrefix="1" applyBorder="1" applyAlignment="1">
      <alignment horizontal="left" vertical="center" wrapText="1"/>
    </xf>
    <xf numFmtId="0" fontId="0" fillId="0" borderId="1" xfId="0" quotePrefix="1" applyBorder="1" applyAlignment="1">
      <alignment horizontal="center" vertical="center" wrapText="1"/>
    </xf>
    <xf numFmtId="42" fontId="11" fillId="15" borderId="58" xfId="0" applyNumberFormat="1" applyFont="1" applyFill="1" applyBorder="1" applyAlignment="1">
      <alignment horizontal="center" vertical="center"/>
    </xf>
    <xf numFmtId="0" fontId="3" fillId="6" borderId="49" xfId="0" applyFont="1" applyFill="1" applyBorder="1" applyAlignment="1">
      <alignment horizontal="center" vertical="center"/>
    </xf>
    <xf numFmtId="0" fontId="27" fillId="6" borderId="22" xfId="0" applyFont="1" applyFill="1" applyBorder="1" applyAlignment="1">
      <alignment vertical="center" wrapText="1"/>
    </xf>
    <xf numFmtId="0" fontId="3" fillId="6" borderId="22" xfId="0" quotePrefix="1" applyFont="1" applyFill="1" applyBorder="1" applyAlignment="1">
      <alignment horizontal="center" vertical="center"/>
    </xf>
    <xf numFmtId="0" fontId="3" fillId="14" borderId="59" xfId="0" applyFont="1" applyFill="1" applyBorder="1" applyAlignment="1">
      <alignment horizontal="center" vertical="center"/>
    </xf>
    <xf numFmtId="0" fontId="3" fillId="14" borderId="25" xfId="0" quotePrefix="1" applyFont="1" applyFill="1" applyBorder="1" applyAlignment="1">
      <alignment horizontal="right" vertical="center" wrapText="1"/>
    </xf>
    <xf numFmtId="0" fontId="0" fillId="15" borderId="33" xfId="0" applyFill="1" applyBorder="1" applyAlignment="1">
      <alignment horizontal="center" vertical="center"/>
    </xf>
    <xf numFmtId="0" fontId="0" fillId="15" borderId="11" xfId="0" applyFill="1" applyBorder="1" applyAlignment="1">
      <alignment horizontal="left" vertical="center"/>
    </xf>
    <xf numFmtId="0" fontId="11" fillId="0" borderId="12" xfId="0" quotePrefix="1" applyFont="1" applyBorder="1" applyAlignment="1">
      <alignment horizontal="center" vertical="center"/>
    </xf>
    <xf numFmtId="0" fontId="0" fillId="22" borderId="24" xfId="0" applyFill="1" applyBorder="1" applyAlignment="1">
      <alignment horizontal="center"/>
    </xf>
    <xf numFmtId="42" fontId="3" fillId="22" borderId="52" xfId="0" applyNumberFormat="1" applyFont="1" applyFill="1" applyBorder="1" applyAlignment="1">
      <alignment horizontal="right"/>
    </xf>
    <xf numFmtId="42" fontId="0" fillId="22" borderId="24" xfId="0" applyNumberFormat="1" applyFill="1" applyBorder="1" applyAlignment="1">
      <alignment horizontal="center"/>
    </xf>
    <xf numFmtId="42" fontId="0" fillId="15" borderId="57" xfId="0" applyNumberFormat="1" applyFill="1" applyBorder="1" applyAlignment="1">
      <alignment horizontal="center"/>
    </xf>
    <xf numFmtId="42" fontId="3" fillId="15" borderId="29" xfId="0" applyNumberFormat="1" applyFont="1" applyFill="1" applyBorder="1" applyAlignment="1">
      <alignment horizontal="center"/>
    </xf>
    <xf numFmtId="42" fontId="5" fillId="22" borderId="9" xfId="0" quotePrefix="1" applyNumberFormat="1" applyFont="1" applyFill="1" applyBorder="1" applyAlignment="1">
      <alignment horizontal="left"/>
    </xf>
    <xf numFmtId="42" fontId="5" fillId="22" borderId="56" xfId="0" quotePrefix="1" applyNumberFormat="1" applyFont="1" applyFill="1" applyBorder="1" applyAlignment="1">
      <alignment horizontal="left"/>
    </xf>
    <xf numFmtId="42" fontId="5" fillId="22" borderId="54" xfId="0" quotePrefix="1" applyNumberFormat="1" applyFont="1" applyFill="1" applyBorder="1" applyAlignment="1">
      <alignment horizontal="left"/>
    </xf>
    <xf numFmtId="42" fontId="10" fillId="22" borderId="54" xfId="0" applyNumberFormat="1" applyFont="1" applyFill="1" applyBorder="1" applyAlignment="1">
      <alignment horizontal="left"/>
    </xf>
    <xf numFmtId="42" fontId="10" fillId="22" borderId="57" xfId="0" applyNumberFormat="1" applyFont="1" applyFill="1" applyBorder="1" applyAlignment="1">
      <alignment horizontal="left"/>
    </xf>
    <xf numFmtId="42" fontId="0" fillId="15" borderId="9" xfId="0" applyNumberFormat="1" applyFill="1" applyBorder="1"/>
    <xf numFmtId="42" fontId="0" fillId="15" borderId="26" xfId="0" applyNumberFormat="1" applyFill="1" applyBorder="1"/>
    <xf numFmtId="42" fontId="10" fillId="22" borderId="53" xfId="0" applyNumberFormat="1" applyFont="1" applyFill="1" applyBorder="1" applyAlignment="1">
      <alignment horizontal="left"/>
    </xf>
    <xf numFmtId="42" fontId="10" fillId="22" borderId="15" xfId="0" applyNumberFormat="1" applyFont="1" applyFill="1" applyBorder="1" applyAlignment="1">
      <alignment horizontal="left"/>
    </xf>
    <xf numFmtId="42" fontId="5" fillId="22" borderId="57" xfId="0" quotePrefix="1" applyNumberFormat="1" applyFont="1" applyFill="1" applyBorder="1" applyAlignment="1">
      <alignment horizontal="left"/>
    </xf>
    <xf numFmtId="42" fontId="5" fillId="22" borderId="26" xfId="0" quotePrefix="1" applyNumberFormat="1" applyFont="1" applyFill="1" applyBorder="1" applyAlignment="1">
      <alignment horizontal="left"/>
    </xf>
    <xf numFmtId="0" fontId="0" fillId="14" borderId="36" xfId="0" applyFill="1" applyBorder="1" applyAlignment="1">
      <alignment horizontal="center" vertical="center"/>
    </xf>
    <xf numFmtId="0" fontId="0" fillId="14" borderId="34" xfId="0" applyFill="1" applyBorder="1" applyAlignment="1">
      <alignment horizontal="center" vertical="center"/>
    </xf>
    <xf numFmtId="0" fontId="0" fillId="0" borderId="17" xfId="0" quotePrefix="1" applyBorder="1" applyAlignment="1">
      <alignment horizontal="center" vertical="center" wrapText="1"/>
    </xf>
    <xf numFmtId="0" fontId="3" fillId="6" borderId="36" xfId="0" applyFont="1" applyFill="1" applyBorder="1" applyAlignment="1">
      <alignment horizontal="center" vertical="center"/>
    </xf>
    <xf numFmtId="0" fontId="0" fillId="0" borderId="15" xfId="0" quotePrefix="1" applyBorder="1" applyAlignment="1">
      <alignment horizontal="center" vertical="center" wrapText="1"/>
    </xf>
    <xf numFmtId="0" fontId="0" fillId="0" borderId="9"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22" borderId="23" xfId="0" applyFill="1" applyBorder="1" applyAlignment="1">
      <alignment horizontal="center" vertical="center"/>
    </xf>
    <xf numFmtId="0" fontId="25" fillId="6" borderId="19" xfId="0" applyFont="1" applyFill="1" applyBorder="1" applyAlignment="1">
      <alignment horizontal="left" vertical="center" wrapText="1"/>
    </xf>
    <xf numFmtId="0" fontId="2" fillId="2" borderId="3" xfId="0" applyFont="1" applyFill="1" applyBorder="1" applyAlignment="1">
      <alignment horizontal="center" vertical="center"/>
    </xf>
    <xf numFmtId="0" fontId="0" fillId="20" borderId="3" xfId="0" applyFill="1" applyBorder="1" applyAlignment="1">
      <alignment horizontal="center" vertical="center"/>
    </xf>
    <xf numFmtId="0" fontId="0" fillId="6" borderId="23" xfId="0" applyFill="1" applyBorder="1" applyAlignment="1">
      <alignment horizontal="center" vertical="center"/>
    </xf>
    <xf numFmtId="0" fontId="0" fillId="0" borderId="24" xfId="0" applyBorder="1" applyAlignment="1">
      <alignment horizontal="center" vertical="center" wrapText="1"/>
    </xf>
    <xf numFmtId="0" fontId="0" fillId="14" borderId="23" xfId="0" applyFill="1" applyBorder="1" applyAlignment="1">
      <alignment horizontal="center" vertical="center"/>
    </xf>
    <xf numFmtId="0" fontId="0" fillId="6" borderId="14" xfId="0" applyFill="1" applyBorder="1" applyAlignment="1">
      <alignment horizontal="center" vertical="center"/>
    </xf>
    <xf numFmtId="0" fontId="0" fillId="14" borderId="14" xfId="0" applyFill="1" applyBorder="1" applyAlignment="1">
      <alignment horizontal="center" vertical="center"/>
    </xf>
    <xf numFmtId="0" fontId="0" fillId="4" borderId="15" xfId="0" applyFill="1" applyBorder="1" applyAlignment="1">
      <alignment horizontal="center" vertical="center"/>
    </xf>
    <xf numFmtId="0" fontId="0" fillId="4" borderId="9" xfId="0" applyFill="1" applyBorder="1" applyAlignment="1">
      <alignment horizontal="center" vertical="center"/>
    </xf>
    <xf numFmtId="0" fontId="0" fillId="4" borderId="26" xfId="0" applyFill="1" applyBorder="1" applyAlignment="1">
      <alignment horizontal="center" vertical="center"/>
    </xf>
    <xf numFmtId="0" fontId="5" fillId="0" borderId="26" xfId="0" applyFont="1" applyBorder="1" applyAlignment="1">
      <alignment horizontal="center" vertical="center"/>
    </xf>
    <xf numFmtId="0" fontId="0" fillId="6" borderId="24" xfId="0" applyFill="1" applyBorder="1" applyAlignment="1">
      <alignment horizontal="center" vertical="center"/>
    </xf>
    <xf numFmtId="0" fontId="0" fillId="4" borderId="10" xfId="0" applyFill="1" applyBorder="1" applyAlignment="1">
      <alignment horizontal="center" vertical="center"/>
    </xf>
    <xf numFmtId="0" fontId="5" fillId="0" borderId="10" xfId="0" applyFont="1" applyBorder="1" applyAlignment="1">
      <alignment horizontal="center" vertical="center"/>
    </xf>
    <xf numFmtId="0" fontId="62" fillId="14" borderId="23" xfId="0" applyFont="1" applyFill="1" applyBorder="1" applyAlignment="1">
      <alignment horizontal="center" vertical="center"/>
    </xf>
    <xf numFmtId="0" fontId="62" fillId="4" borderId="10" xfId="0" applyFont="1" applyFill="1" applyBorder="1" applyAlignment="1">
      <alignment horizontal="center" vertical="center"/>
    </xf>
    <xf numFmtId="0" fontId="0" fillId="15" borderId="15" xfId="0" applyFill="1" applyBorder="1" applyAlignment="1">
      <alignment horizontal="center" vertical="center"/>
    </xf>
    <xf numFmtId="0" fontId="0" fillId="15" borderId="9" xfId="0" applyFill="1" applyBorder="1" applyAlignment="1">
      <alignment horizontal="center" vertical="center" wrapText="1"/>
    </xf>
    <xf numFmtId="0" fontId="6" fillId="14" borderId="24" xfId="0" applyFont="1" applyFill="1" applyBorder="1" applyAlignment="1">
      <alignment horizontal="center" vertical="center"/>
    </xf>
    <xf numFmtId="0" fontId="6" fillId="3" borderId="3" xfId="0" applyFont="1" applyFill="1" applyBorder="1" applyAlignment="1">
      <alignment horizontal="center" vertical="center"/>
    </xf>
    <xf numFmtId="0" fontId="6" fillId="14" borderId="3" xfId="0" applyFont="1" applyFill="1" applyBorder="1" applyAlignment="1">
      <alignment horizontal="center" vertical="center"/>
    </xf>
    <xf numFmtId="0" fontId="0" fillId="3" borderId="23" xfId="0" applyFill="1" applyBorder="1" applyAlignment="1">
      <alignment horizontal="center" vertical="center"/>
    </xf>
    <xf numFmtId="0" fontId="6" fillId="0" borderId="9" xfId="0" applyFont="1" applyBorder="1" applyAlignment="1">
      <alignment horizontal="center" vertical="center"/>
    </xf>
    <xf numFmtId="0" fontId="6" fillId="3" borderId="23" xfId="0" applyFont="1" applyFill="1" applyBorder="1" applyAlignment="1">
      <alignment horizontal="center" vertical="center"/>
    </xf>
    <xf numFmtId="0" fontId="0" fillId="20" borderId="24" xfId="0" applyFill="1" applyBorder="1" applyAlignment="1">
      <alignment horizontal="center" vertical="center"/>
    </xf>
    <xf numFmtId="0" fontId="0" fillId="15" borderId="8" xfId="0" applyFill="1" applyBorder="1" applyAlignment="1">
      <alignment horizontal="center" vertical="center"/>
    </xf>
    <xf numFmtId="0" fontId="9" fillId="15" borderId="9" xfId="0" applyFont="1" applyFill="1" applyBorder="1" applyAlignment="1">
      <alignment horizontal="center" vertical="center" wrapText="1"/>
    </xf>
    <xf numFmtId="0" fontId="0" fillId="14" borderId="24" xfId="0" applyFill="1" applyBorder="1" applyAlignment="1">
      <alignment horizontal="center" vertical="center"/>
    </xf>
    <xf numFmtId="0" fontId="0" fillId="16" borderId="23" xfId="0" applyFill="1" applyBorder="1" applyAlignment="1">
      <alignment horizontal="center" vertical="center"/>
    </xf>
    <xf numFmtId="0" fontId="0" fillId="7" borderId="23" xfId="0" applyFill="1" applyBorder="1" applyAlignment="1">
      <alignment horizontal="center" vertical="center"/>
    </xf>
    <xf numFmtId="0" fontId="0" fillId="22" borderId="24" xfId="0" applyFill="1" applyBorder="1" applyAlignment="1">
      <alignment horizontal="center" vertical="center"/>
    </xf>
    <xf numFmtId="0" fontId="5" fillId="0" borderId="14" xfId="0" applyFont="1" applyBorder="1" applyAlignment="1">
      <alignment horizontal="center" vertical="center"/>
    </xf>
    <xf numFmtId="0" fontId="0" fillId="6" borderId="24" xfId="0" applyFill="1" applyBorder="1" applyAlignment="1">
      <alignment horizontal="centerContinuous" vertical="center"/>
    </xf>
    <xf numFmtId="0" fontId="0" fillId="22" borderId="8" xfId="0" quotePrefix="1" applyFill="1" applyBorder="1" applyAlignment="1">
      <alignment horizontal="center" vertical="center" wrapText="1"/>
    </xf>
    <xf numFmtId="0" fontId="0" fillId="22" borderId="9" xfId="0" quotePrefix="1" applyFill="1" applyBorder="1" applyAlignment="1">
      <alignment horizontal="center" vertical="center" wrapText="1"/>
    </xf>
    <xf numFmtId="0" fontId="0" fillId="22" borderId="9" xfId="0" quotePrefix="1" applyFill="1" applyBorder="1" applyAlignment="1">
      <alignment horizontal="center" wrapText="1"/>
    </xf>
    <xf numFmtId="0" fontId="0" fillId="22" borderId="26" xfId="0" quotePrefix="1" applyFill="1" applyBorder="1" applyAlignment="1">
      <alignment horizontal="center" vertical="center" wrapText="1"/>
    </xf>
    <xf numFmtId="42" fontId="0" fillId="12" borderId="71" xfId="0" applyNumberFormat="1" applyFill="1" applyBorder="1" applyAlignment="1">
      <alignment vertical="center"/>
    </xf>
    <xf numFmtId="42" fontId="0" fillId="12" borderId="15" xfId="0" applyNumberFormat="1" applyFill="1" applyBorder="1" applyAlignment="1">
      <alignment vertical="center"/>
    </xf>
    <xf numFmtId="42" fontId="0" fillId="12" borderId="69" xfId="0" applyNumberFormat="1" applyFill="1" applyBorder="1" applyAlignment="1">
      <alignment vertical="center"/>
    </xf>
    <xf numFmtId="42" fontId="0" fillId="12" borderId="46" xfId="0" applyNumberFormat="1" applyFill="1" applyBorder="1" applyAlignment="1">
      <alignment vertical="center"/>
    </xf>
    <xf numFmtId="42" fontId="0" fillId="12" borderId="58" xfId="0" applyNumberFormat="1" applyFill="1" applyBorder="1" applyAlignment="1">
      <alignment vertical="center"/>
    </xf>
    <xf numFmtId="42" fontId="0" fillId="12" borderId="9" xfId="0" applyNumberFormat="1" applyFill="1" applyBorder="1" applyAlignment="1">
      <alignment vertical="center"/>
    </xf>
    <xf numFmtId="42" fontId="0" fillId="12" borderId="47" xfId="0" applyNumberFormat="1" applyFill="1" applyBorder="1" applyAlignment="1">
      <alignment vertical="center"/>
    </xf>
    <xf numFmtId="42" fontId="0" fillId="12" borderId="26" xfId="0" applyNumberFormat="1" applyFill="1" applyBorder="1" applyAlignment="1">
      <alignment vertical="center"/>
    </xf>
    <xf numFmtId="42" fontId="0" fillId="12" borderId="32" xfId="0" applyNumberFormat="1" applyFill="1" applyBorder="1" applyAlignment="1">
      <alignment vertical="center"/>
    </xf>
    <xf numFmtId="0" fontId="0" fillId="10" borderId="19" xfId="0" applyFill="1" applyBorder="1"/>
    <xf numFmtId="0" fontId="0" fillId="10" borderId="28" xfId="0" applyFill="1" applyBorder="1"/>
    <xf numFmtId="6" fontId="0" fillId="15" borderId="15" xfId="0" applyNumberFormat="1" applyFill="1" applyBorder="1"/>
    <xf numFmtId="1" fontId="0" fillId="15" borderId="28" xfId="0" applyNumberFormat="1" applyFill="1" applyBorder="1" applyAlignment="1">
      <alignment horizontal="center"/>
    </xf>
    <xf numFmtId="175" fontId="0" fillId="0" borderId="64" xfId="0" applyNumberFormat="1" applyBorder="1" applyAlignment="1">
      <alignment horizontal="center"/>
    </xf>
    <xf numFmtId="0" fontId="0" fillId="0" borderId="42" xfId="0" applyBorder="1"/>
    <xf numFmtId="175" fontId="0" fillId="0" borderId="10" xfId="0" applyNumberFormat="1" applyBorder="1" applyAlignment="1">
      <alignment horizontal="center"/>
    </xf>
    <xf numFmtId="1" fontId="0" fillId="0" borderId="75" xfId="0" applyNumberFormat="1" applyBorder="1" applyAlignment="1">
      <alignment horizontal="center"/>
    </xf>
    <xf numFmtId="0" fontId="0" fillId="0" borderId="6" xfId="0" applyBorder="1"/>
    <xf numFmtId="0" fontId="44" fillId="17" borderId="23" xfId="0" applyFont="1" applyFill="1" applyBorder="1" applyAlignment="1">
      <alignment horizontal="center" vertical="center"/>
    </xf>
    <xf numFmtId="0" fontId="3" fillId="10" borderId="3" xfId="0" applyFont="1" applyFill="1" applyBorder="1"/>
    <xf numFmtId="0" fontId="0" fillId="10" borderId="48" xfId="0" applyFill="1" applyBorder="1" applyAlignment="1">
      <alignment horizontal="left"/>
    </xf>
    <xf numFmtId="0" fontId="0" fillId="0" borderId="22" xfId="0" quotePrefix="1" applyBorder="1" applyAlignment="1">
      <alignment vertical="center" wrapText="1"/>
    </xf>
    <xf numFmtId="0" fontId="9" fillId="0" borderId="50" xfId="0" quotePrefix="1" applyFont="1" applyBorder="1" applyAlignment="1">
      <alignment horizontal="left" vertical="center" wrapText="1"/>
    </xf>
    <xf numFmtId="42" fontId="5" fillId="0" borderId="74" xfId="0" applyNumberFormat="1" applyFont="1" applyBorder="1" applyAlignment="1">
      <alignment horizontal="centerContinuous" vertical="center"/>
    </xf>
    <xf numFmtId="0" fontId="9" fillId="0" borderId="30" xfId="0" applyFont="1" applyBorder="1" applyAlignment="1">
      <alignment horizontal="left" vertical="center" wrapText="1"/>
    </xf>
    <xf numFmtId="0" fontId="3" fillId="7" borderId="36" xfId="0" applyFont="1" applyFill="1" applyBorder="1" applyAlignment="1">
      <alignment horizontal="center" vertical="center"/>
    </xf>
    <xf numFmtId="0" fontId="3" fillId="14" borderId="25" xfId="0" applyFont="1" applyFill="1" applyBorder="1" applyAlignment="1">
      <alignment horizontal="right" vertical="center"/>
    </xf>
    <xf numFmtId="0" fontId="11" fillId="0" borderId="19" xfId="0" quotePrefix="1" applyFont="1" applyBorder="1" applyAlignment="1">
      <alignment horizontal="left" vertical="center" wrapText="1"/>
    </xf>
    <xf numFmtId="0" fontId="0" fillId="0" borderId="10" xfId="0" applyBorder="1" applyAlignment="1">
      <alignment vertical="center" wrapText="1"/>
    </xf>
    <xf numFmtId="44" fontId="0" fillId="17" borderId="24" xfId="0" applyNumberFormat="1" applyFill="1" applyBorder="1" applyAlignment="1">
      <alignment vertical="center"/>
    </xf>
    <xf numFmtId="0" fontId="9" fillId="0" borderId="0" xfId="0" quotePrefix="1" applyFont="1" applyAlignment="1">
      <alignment horizontal="left" vertical="center" wrapText="1"/>
    </xf>
    <xf numFmtId="0" fontId="3" fillId="20" borderId="79" xfId="0" applyFont="1" applyFill="1" applyBorder="1" applyAlignment="1">
      <alignment horizontal="center" vertical="center"/>
    </xf>
    <xf numFmtId="0" fontId="37" fillId="20" borderId="2" xfId="0" quotePrefix="1" applyFont="1" applyFill="1" applyBorder="1" applyAlignment="1">
      <alignment vertical="center" wrapText="1"/>
    </xf>
    <xf numFmtId="0" fontId="3" fillId="20" borderId="27" xfId="0" applyFont="1" applyFill="1" applyBorder="1" applyAlignment="1">
      <alignment horizontal="center" vertical="center"/>
    </xf>
    <xf numFmtId="42" fontId="3" fillId="20" borderId="0" xfId="0" applyNumberFormat="1" applyFont="1" applyFill="1" applyAlignment="1">
      <alignment horizontal="center" vertical="center"/>
    </xf>
    <xf numFmtId="0" fontId="24" fillId="20" borderId="0" xfId="0" quotePrefix="1" applyFont="1" applyFill="1" applyAlignment="1">
      <alignment horizontal="left" vertical="center" wrapText="1"/>
    </xf>
    <xf numFmtId="0" fontId="3" fillId="14" borderId="2" xfId="0" applyFont="1" applyFill="1" applyBorder="1" applyAlignment="1">
      <alignment horizontal="right" vertical="center"/>
    </xf>
    <xf numFmtId="0" fontId="9" fillId="14" borderId="0" xfId="0" applyFont="1" applyFill="1" applyAlignment="1">
      <alignment horizontal="left" vertical="center"/>
    </xf>
    <xf numFmtId="0" fontId="0" fillId="20" borderId="23" xfId="0" applyFill="1" applyBorder="1" applyAlignment="1">
      <alignment horizontal="center" vertical="center"/>
    </xf>
    <xf numFmtId="0" fontId="9" fillId="0" borderId="22" xfId="0" quotePrefix="1" applyFont="1" applyBorder="1" applyAlignment="1">
      <alignment horizontal="left" vertical="center" wrapText="1"/>
    </xf>
    <xf numFmtId="42" fontId="3" fillId="20" borderId="23" xfId="0" applyNumberFormat="1" applyFont="1" applyFill="1" applyBorder="1" applyAlignment="1">
      <alignment horizontal="center" vertical="center"/>
    </xf>
    <xf numFmtId="42" fontId="11" fillId="14" borderId="24" xfId="0" applyNumberFormat="1" applyFont="1" applyFill="1" applyBorder="1" applyAlignment="1">
      <alignment horizontal="center" vertical="center"/>
    </xf>
    <xf numFmtId="9" fontId="0" fillId="15" borderId="14" xfId="0" applyNumberFormat="1" applyFill="1" applyBorder="1" applyAlignment="1">
      <alignment horizontal="center"/>
    </xf>
    <xf numFmtId="42" fontId="11" fillId="0" borderId="14" xfId="0" applyNumberFormat="1" applyFont="1" applyBorder="1" applyAlignment="1">
      <alignment horizontal="center" vertical="center"/>
    </xf>
    <xf numFmtId="42" fontId="11" fillId="0" borderId="0" xfId="0" applyNumberFormat="1" applyFont="1" applyAlignment="1">
      <alignment horizontal="center" vertical="center"/>
    </xf>
    <xf numFmtId="0" fontId="2" fillId="4" borderId="4" xfId="0" quotePrefix="1" applyFont="1" applyFill="1" applyBorder="1" applyAlignment="1">
      <alignment vertical="center" wrapText="1"/>
    </xf>
    <xf numFmtId="0" fontId="0" fillId="4" borderId="3" xfId="0" applyFill="1" applyBorder="1"/>
    <xf numFmtId="42" fontId="3" fillId="4" borderId="19" xfId="0" applyNumberFormat="1" applyFont="1" applyFill="1" applyBorder="1" applyAlignment="1">
      <alignment horizontal="center" vertical="center"/>
    </xf>
    <xf numFmtId="0" fontId="9" fillId="4" borderId="19" xfId="0" quotePrefix="1" applyFont="1" applyFill="1" applyBorder="1" applyAlignment="1">
      <alignment horizontal="left" vertical="center" wrapText="1"/>
    </xf>
    <xf numFmtId="42" fontId="11" fillId="4" borderId="3" xfId="0" applyNumberFormat="1" applyFont="1" applyFill="1" applyBorder="1" applyAlignment="1">
      <alignment horizontal="center" vertical="center" wrapText="1"/>
    </xf>
    <xf numFmtId="42" fontId="11" fillId="4" borderId="19" xfId="0" applyNumberFormat="1" applyFont="1" applyFill="1" applyBorder="1" applyAlignment="1">
      <alignment horizontal="center" vertical="center" wrapText="1"/>
    </xf>
    <xf numFmtId="0" fontId="3" fillId="0" borderId="60" xfId="0" applyFont="1" applyBorder="1" applyAlignment="1">
      <alignment horizontal="center" vertical="center"/>
    </xf>
    <xf numFmtId="0" fontId="0" fillId="0" borderId="61" xfId="0" quotePrefix="1" applyBorder="1" applyAlignment="1">
      <alignment vertical="center" wrapText="1"/>
    </xf>
    <xf numFmtId="42" fontId="11" fillId="15" borderId="23" xfId="0" applyNumberFormat="1" applyFont="1" applyFill="1" applyBorder="1" applyAlignment="1">
      <alignment horizontal="center" vertical="center" wrapText="1"/>
    </xf>
    <xf numFmtId="42" fontId="11" fillId="15" borderId="22" xfId="0" applyNumberFormat="1" applyFont="1" applyFill="1" applyBorder="1" applyAlignment="1">
      <alignment horizontal="center" vertical="center" wrapText="1"/>
    </xf>
    <xf numFmtId="0" fontId="27" fillId="0" borderId="61" xfId="0" quotePrefix="1" applyFont="1" applyBorder="1" applyAlignment="1">
      <alignment vertical="center" wrapText="1"/>
    </xf>
    <xf numFmtId="42" fontId="11" fillId="15" borderId="23" xfId="0" applyNumberFormat="1" applyFont="1" applyFill="1" applyBorder="1" applyAlignment="1">
      <alignment horizontal="center" vertical="center"/>
    </xf>
    <xf numFmtId="42" fontId="11" fillId="15" borderId="22" xfId="0" applyNumberFormat="1" applyFont="1" applyFill="1" applyBorder="1" applyAlignment="1">
      <alignment horizontal="center" vertical="center"/>
    </xf>
    <xf numFmtId="0" fontId="25" fillId="0" borderId="22" xfId="0" quotePrefix="1" applyFont="1" applyBorder="1" applyAlignment="1">
      <alignment horizontal="left" vertical="center" wrapText="1"/>
    </xf>
    <xf numFmtId="42" fontId="11" fillId="22" borderId="14" xfId="0" applyNumberFormat="1" applyFont="1" applyFill="1" applyBorder="1" applyAlignment="1">
      <alignment horizontal="center" vertical="center"/>
    </xf>
    <xf numFmtId="42" fontId="11" fillId="15" borderId="47" xfId="0" applyNumberFormat="1" applyFont="1" applyFill="1" applyBorder="1" applyAlignment="1">
      <alignment horizontal="center" vertical="center"/>
    </xf>
    <xf numFmtId="42" fontId="3" fillId="12" borderId="19" xfId="0" applyNumberFormat="1" applyFont="1" applyFill="1" applyBorder="1" applyAlignment="1">
      <alignment horizontal="center" vertical="center"/>
    </xf>
    <xf numFmtId="0" fontId="9" fillId="0" borderId="28" xfId="0" applyFont="1" applyBorder="1" applyAlignment="1">
      <alignment horizontal="left" vertical="center" wrapText="1"/>
    </xf>
    <xf numFmtId="42" fontId="3" fillId="15" borderId="56" xfId="0" applyNumberFormat="1" applyFont="1" applyFill="1" applyBorder="1" applyAlignment="1">
      <alignment horizontal="center" vertical="center"/>
    </xf>
    <xf numFmtId="42" fontId="3" fillId="12" borderId="54" xfId="0" applyNumberFormat="1" applyFont="1" applyFill="1" applyBorder="1" applyAlignment="1">
      <alignment horizontal="center" vertical="center"/>
    </xf>
    <xf numFmtId="42" fontId="3" fillId="12" borderId="57" xfId="0" applyNumberFormat="1" applyFont="1" applyFill="1" applyBorder="1" applyAlignment="1">
      <alignment horizontal="center" vertical="center"/>
    </xf>
    <xf numFmtId="0" fontId="9" fillId="0" borderId="56" xfId="0" quotePrefix="1" applyFont="1" applyBorder="1" applyAlignment="1">
      <alignment horizontal="left" vertical="center" wrapText="1"/>
    </xf>
    <xf numFmtId="42" fontId="3" fillId="12" borderId="46" xfId="0" applyNumberFormat="1" applyFont="1" applyFill="1" applyBorder="1" applyAlignment="1">
      <alignment horizontal="center" vertical="center"/>
    </xf>
    <xf numFmtId="0" fontId="0" fillId="0" borderId="57" xfId="0" applyBorder="1" applyAlignment="1">
      <alignment vertical="center"/>
    </xf>
    <xf numFmtId="0" fontId="0" fillId="0" borderId="51" xfId="0" applyBorder="1" applyAlignment="1">
      <alignment horizontal="left" vertical="center"/>
    </xf>
    <xf numFmtId="44" fontId="0" fillId="17" borderId="14" xfId="0" applyNumberFormat="1" applyFill="1" applyBorder="1" applyAlignment="1">
      <alignment vertical="center"/>
    </xf>
    <xf numFmtId="170" fontId="3" fillId="12" borderId="10" xfId="0" applyNumberFormat="1" applyFont="1" applyFill="1" applyBorder="1" applyAlignment="1">
      <alignment horizontal="center" vertical="center"/>
    </xf>
    <xf numFmtId="9" fontId="3" fillId="12" borderId="15" xfId="0" applyNumberFormat="1" applyFont="1" applyFill="1" applyBorder="1" applyAlignment="1">
      <alignment horizontal="center" vertical="center"/>
    </xf>
    <xf numFmtId="170" fontId="0" fillId="15" borderId="3" xfId="0" applyNumberFormat="1" applyFill="1" applyBorder="1" applyAlignment="1">
      <alignment horizontal="center" vertical="center"/>
    </xf>
    <xf numFmtId="0" fontId="11" fillId="0" borderId="51" xfId="0" applyFont="1" applyBorder="1" applyAlignment="1">
      <alignment horizontal="center" vertical="center"/>
    </xf>
    <xf numFmtId="44" fontId="44" fillId="17" borderId="8" xfId="0" applyNumberFormat="1" applyFont="1" applyFill="1" applyBorder="1" applyAlignment="1">
      <alignment horizontal="center" vertical="center"/>
    </xf>
    <xf numFmtId="44" fontId="44" fillId="17" borderId="26" xfId="0" applyNumberFormat="1" applyFont="1" applyFill="1" applyBorder="1" applyAlignment="1">
      <alignment horizontal="center" vertical="center"/>
    </xf>
    <xf numFmtId="44" fontId="3" fillId="0" borderId="8" xfId="0" applyNumberFormat="1" applyFont="1" applyBorder="1" applyAlignment="1">
      <alignment vertical="center"/>
    </xf>
    <xf numFmtId="44" fontId="3" fillId="0" borderId="45" xfId="0" applyNumberFormat="1" applyFont="1" applyBorder="1" applyAlignment="1">
      <alignment vertical="center"/>
    </xf>
    <xf numFmtId="44" fontId="11" fillId="0" borderId="10" xfId="0" applyNumberFormat="1" applyFont="1" applyBorder="1" applyAlignment="1">
      <alignment vertical="center"/>
    </xf>
    <xf numFmtId="44" fontId="11" fillId="0" borderId="76" xfId="0" applyNumberFormat="1" applyFont="1" applyBorder="1" applyAlignment="1">
      <alignment vertical="center"/>
    </xf>
    <xf numFmtId="0" fontId="11" fillId="0" borderId="26" xfId="0" applyFont="1" applyBorder="1" applyAlignment="1">
      <alignment horizontal="center" vertical="center"/>
    </xf>
    <xf numFmtId="0" fontId="11" fillId="0" borderId="47" xfId="0" applyFont="1" applyBorder="1" applyAlignment="1">
      <alignment horizontal="center" vertical="center"/>
    </xf>
    <xf numFmtId="44" fontId="11" fillId="0" borderId="15" xfId="0" applyNumberFormat="1" applyFont="1" applyBorder="1" applyAlignment="1">
      <alignment vertical="center"/>
    </xf>
    <xf numFmtId="44" fontId="11" fillId="0" borderId="71" xfId="0" applyNumberFormat="1" applyFont="1" applyBorder="1" applyAlignment="1">
      <alignment vertical="center"/>
    </xf>
    <xf numFmtId="44" fontId="11" fillId="0" borderId="9" xfId="0" applyNumberFormat="1" applyFont="1" applyBorder="1" applyAlignment="1">
      <alignment vertical="center"/>
    </xf>
    <xf numFmtId="44" fontId="11" fillId="0" borderId="46" xfId="0" applyNumberFormat="1" applyFont="1" applyBorder="1" applyAlignment="1">
      <alignment vertical="center"/>
    </xf>
    <xf numFmtId="44" fontId="46" fillId="0" borderId="46" xfId="0" applyNumberFormat="1" applyFont="1" applyBorder="1" applyAlignment="1">
      <alignment vertical="center"/>
    </xf>
    <xf numFmtId="44" fontId="3" fillId="0" borderId="26" xfId="0" applyNumberFormat="1" applyFont="1" applyBorder="1" applyAlignment="1">
      <alignment vertical="center"/>
    </xf>
    <xf numFmtId="44" fontId="3" fillId="0" borderId="47" xfId="0" applyNumberFormat="1" applyFont="1" applyBorder="1" applyAlignment="1">
      <alignment vertical="center"/>
    </xf>
    <xf numFmtId="165" fontId="9" fillId="0" borderId="33"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12" xfId="0" applyNumberFormat="1" applyFont="1" applyBorder="1" applyAlignment="1">
      <alignment horizontal="center" vertical="center"/>
    </xf>
    <xf numFmtId="165" fontId="9" fillId="0" borderId="13" xfId="0" applyNumberFormat="1" applyFont="1" applyBorder="1" applyAlignment="1">
      <alignment horizontal="center" vertical="center"/>
    </xf>
    <xf numFmtId="44" fontId="44" fillId="17" borderId="19" xfId="0" applyNumberFormat="1" applyFont="1" applyFill="1" applyBorder="1" applyAlignment="1">
      <alignment horizontal="center" vertical="center"/>
    </xf>
    <xf numFmtId="0" fontId="0" fillId="7" borderId="48" xfId="0" applyFill="1" applyBorder="1"/>
    <xf numFmtId="0" fontId="0" fillId="7" borderId="19" xfId="0" applyFill="1" applyBorder="1"/>
    <xf numFmtId="0" fontId="0" fillId="15" borderId="54" xfId="0" applyFill="1" applyBorder="1"/>
    <xf numFmtId="0" fontId="0" fillId="15" borderId="46" xfId="0" applyFill="1" applyBorder="1"/>
    <xf numFmtId="0" fontId="3" fillId="7" borderId="36" xfId="0" applyFont="1" applyFill="1" applyBorder="1"/>
    <xf numFmtId="0" fontId="3" fillId="7" borderId="4" xfId="0" applyFont="1" applyFill="1" applyBorder="1"/>
    <xf numFmtId="0" fontId="3" fillId="7" borderId="40" xfId="0" applyFont="1" applyFill="1" applyBorder="1"/>
    <xf numFmtId="0" fontId="9" fillId="15" borderId="53" xfId="0" applyFont="1" applyFill="1" applyBorder="1"/>
    <xf numFmtId="0" fontId="9" fillId="15" borderId="71" xfId="0" applyFont="1" applyFill="1" applyBorder="1"/>
    <xf numFmtId="0" fontId="0" fillId="15" borderId="53" xfId="0" applyFill="1" applyBorder="1"/>
    <xf numFmtId="0" fontId="0" fillId="15" borderId="71" xfId="0" applyFill="1" applyBorder="1"/>
    <xf numFmtId="0" fontId="0" fillId="15" borderId="55" xfId="0" applyFill="1" applyBorder="1"/>
    <xf numFmtId="0" fontId="0" fillId="15" borderId="76" xfId="0" applyFill="1" applyBorder="1"/>
    <xf numFmtId="0" fontId="3" fillId="7" borderId="48" xfId="0" applyFont="1" applyFill="1" applyBorder="1"/>
    <xf numFmtId="0" fontId="3" fillId="7" borderId="19" xfId="0" applyFont="1" applyFill="1" applyBorder="1"/>
    <xf numFmtId="0" fontId="2" fillId="2" borderId="40" xfId="0" applyFont="1" applyFill="1" applyBorder="1"/>
    <xf numFmtId="0" fontId="0" fillId="0" borderId="19" xfId="0" applyBorder="1"/>
    <xf numFmtId="0" fontId="41" fillId="0" borderId="48" xfId="0" quotePrefix="1" applyFont="1" applyBorder="1" applyAlignment="1">
      <alignment horizontal="left"/>
    </xf>
    <xf numFmtId="0" fontId="0" fillId="0" borderId="19" xfId="0" applyBorder="1" applyAlignment="1">
      <alignment horizontal="left"/>
    </xf>
    <xf numFmtId="0" fontId="0" fillId="0" borderId="28" xfId="0" applyBorder="1" applyAlignment="1">
      <alignment horizontal="left"/>
    </xf>
    <xf numFmtId="0" fontId="41" fillId="0" borderId="48" xfId="0" applyFont="1" applyBorder="1" applyAlignment="1">
      <alignment horizontal="left"/>
    </xf>
    <xf numFmtId="0" fontId="0" fillId="15" borderId="34" xfId="0" applyFill="1" applyBorder="1"/>
    <xf numFmtId="0" fontId="0" fillId="15" borderId="1" xfId="0" applyFill="1" applyBorder="1"/>
    <xf numFmtId="0" fontId="0" fillId="15" borderId="37" xfId="0" applyFill="1" applyBorder="1"/>
    <xf numFmtId="0" fontId="0" fillId="15" borderId="47" xfId="0" applyFill="1" applyBorder="1"/>
    <xf numFmtId="0" fontId="0" fillId="15" borderId="68" xfId="0" applyFill="1" applyBorder="1"/>
    <xf numFmtId="0" fontId="3" fillId="14" borderId="25" xfId="0" applyFont="1" applyFill="1" applyBorder="1" applyAlignment="1">
      <alignment horizontal="right"/>
    </xf>
    <xf numFmtId="0" fontId="0" fillId="14" borderId="25" xfId="0" applyFill="1" applyBorder="1"/>
    <xf numFmtId="0" fontId="3" fillId="3" borderId="40" xfId="0" applyFont="1" applyFill="1" applyBorder="1" applyAlignment="1">
      <alignment horizontal="right"/>
    </xf>
    <xf numFmtId="0" fontId="3" fillId="3" borderId="19" xfId="0" applyFont="1" applyFill="1" applyBorder="1" applyAlignment="1">
      <alignment horizontal="right"/>
    </xf>
    <xf numFmtId="0" fontId="3" fillId="3" borderId="70" xfId="0" applyFont="1" applyFill="1" applyBorder="1" applyAlignment="1">
      <alignment horizontal="right"/>
    </xf>
    <xf numFmtId="0" fontId="0" fillId="15" borderId="64" xfId="0" applyFill="1" applyBorder="1"/>
    <xf numFmtId="0" fontId="0" fillId="15" borderId="6" xfId="0" applyFill="1" applyBorder="1"/>
    <xf numFmtId="0" fontId="0" fillId="15" borderId="42" xfId="0" applyFill="1" applyBorder="1"/>
    <xf numFmtId="0" fontId="0" fillId="15" borderId="33" xfId="0" applyFill="1" applyBorder="1"/>
    <xf numFmtId="0" fontId="0" fillId="15" borderId="11" xfId="0" applyFill="1" applyBorder="1"/>
    <xf numFmtId="0" fontId="0" fillId="15" borderId="38" xfId="0" applyFill="1" applyBorder="1"/>
    <xf numFmtId="0" fontId="0" fillId="15" borderId="57" xfId="0" applyFill="1" applyBorder="1" applyAlignment="1">
      <alignment horizontal="left"/>
    </xf>
    <xf numFmtId="0" fontId="0" fillId="15" borderId="47" xfId="0" applyFill="1" applyBorder="1" applyAlignment="1">
      <alignment horizontal="left"/>
    </xf>
    <xf numFmtId="0" fontId="3" fillId="2" borderId="48" xfId="0" applyFont="1" applyFill="1" applyBorder="1" applyAlignment="1">
      <alignment horizontal="right"/>
    </xf>
    <xf numFmtId="0" fontId="0" fillId="0" borderId="28" xfId="0" applyBorder="1" applyAlignment="1">
      <alignment horizontal="right"/>
    </xf>
    <xf numFmtId="42" fontId="43" fillId="15" borderId="48" xfId="0" applyNumberFormat="1" applyFont="1" applyFill="1" applyBorder="1" applyAlignment="1">
      <alignment horizontal="left"/>
    </xf>
    <xf numFmtId="0" fontId="43" fillId="15" borderId="28" xfId="0" applyFont="1" applyFill="1" applyBorder="1" applyAlignment="1">
      <alignment horizontal="left"/>
    </xf>
    <xf numFmtId="0" fontId="86" fillId="14" borderId="36" xfId="0" applyFont="1" applyFill="1" applyBorder="1" applyAlignment="1">
      <alignment horizontal="right"/>
    </xf>
    <xf numFmtId="0" fontId="86" fillId="14" borderId="4" xfId="0" applyFont="1" applyFill="1" applyBorder="1" applyAlignment="1">
      <alignment horizontal="right"/>
    </xf>
    <xf numFmtId="0" fontId="31" fillId="15" borderId="33" xfId="0" applyFont="1" applyFill="1" applyBorder="1" applyAlignment="1">
      <alignment horizontal="right"/>
    </xf>
    <xf numFmtId="0" fontId="31" fillId="15" borderId="11" xfId="0" applyFont="1" applyFill="1" applyBorder="1" applyAlignment="1">
      <alignment horizontal="right"/>
    </xf>
    <xf numFmtId="0" fontId="7" fillId="2" borderId="36" xfId="0" applyFont="1" applyFill="1" applyBorder="1" applyAlignment="1">
      <alignment horizontal="center"/>
    </xf>
    <xf numFmtId="0" fontId="29" fillId="0" borderId="4" xfId="0" applyFont="1" applyBorder="1" applyAlignment="1">
      <alignment horizontal="center"/>
    </xf>
    <xf numFmtId="0" fontId="31" fillId="15" borderId="34" xfId="0" applyFont="1" applyFill="1" applyBorder="1" applyAlignment="1">
      <alignment horizontal="right"/>
    </xf>
    <xf numFmtId="0" fontId="31" fillId="15" borderId="1" xfId="0" applyFont="1" applyFill="1" applyBorder="1" applyAlignment="1">
      <alignment horizontal="right"/>
    </xf>
    <xf numFmtId="0" fontId="31" fillId="15" borderId="35" xfId="0" applyFont="1" applyFill="1" applyBorder="1" applyAlignment="1">
      <alignment horizontal="right"/>
    </xf>
    <xf numFmtId="0" fontId="31" fillId="15" borderId="20" xfId="0" applyFont="1" applyFill="1" applyBorder="1" applyAlignment="1">
      <alignment horizontal="right"/>
    </xf>
    <xf numFmtId="0" fontId="86" fillId="3" borderId="36" xfId="0" applyFont="1" applyFill="1" applyBorder="1" applyAlignment="1">
      <alignment horizontal="right"/>
    </xf>
    <xf numFmtId="0" fontId="86" fillId="3" borderId="4" xfId="0" applyFont="1" applyFill="1" applyBorder="1" applyAlignment="1">
      <alignment horizontal="right"/>
    </xf>
    <xf numFmtId="0" fontId="0" fillId="15" borderId="16" xfId="0" applyFill="1" applyBorder="1"/>
    <xf numFmtId="0" fontId="0" fillId="15" borderId="7" xfId="0" applyFill="1" applyBorder="1"/>
    <xf numFmtId="0" fontId="89" fillId="22" borderId="23" xfId="0" applyFont="1" applyFill="1" applyBorder="1" applyAlignment="1">
      <alignment horizontal="center" vertical="center" textRotation="90"/>
    </xf>
    <xf numFmtId="0" fontId="89" fillId="22" borderId="24" xfId="0" applyFont="1" applyFill="1" applyBorder="1" applyAlignment="1">
      <alignment horizontal="center" vertical="center" textRotation="90"/>
    </xf>
    <xf numFmtId="0" fontId="0" fillId="19" borderId="56" xfId="0" applyFill="1" applyBorder="1" applyAlignment="1">
      <alignment horizontal="left" vertical="center" wrapText="1"/>
    </xf>
    <xf numFmtId="0" fontId="0" fillId="0" borderId="31" xfId="0" applyBorder="1" applyAlignment="1">
      <alignment wrapText="1"/>
    </xf>
    <xf numFmtId="0" fontId="0" fillId="19" borderId="57" xfId="0" applyFill="1" applyBorder="1" applyAlignment="1">
      <alignment horizontal="left" vertical="center" wrapText="1"/>
    </xf>
    <xf numFmtId="0" fontId="0" fillId="0" borderId="32" xfId="0" applyBorder="1" applyAlignment="1">
      <alignment wrapText="1"/>
    </xf>
    <xf numFmtId="0" fontId="31" fillId="0" borderId="19" xfId="0" applyFont="1" applyBorder="1" applyAlignment="1">
      <alignment wrapText="1"/>
    </xf>
    <xf numFmtId="0" fontId="31" fillId="0" borderId="28" xfId="0" applyFont="1" applyBorder="1" applyAlignment="1">
      <alignment wrapText="1"/>
    </xf>
    <xf numFmtId="0" fontId="39" fillId="0" borderId="48" xfId="0" applyFont="1" applyBorder="1" applyAlignment="1">
      <alignment vertical="center" wrapText="1"/>
    </xf>
    <xf numFmtId="0" fontId="39" fillId="0" borderId="28" xfId="0" applyFont="1" applyBorder="1"/>
    <xf numFmtId="0" fontId="29" fillId="6" borderId="48" xfId="0" applyFont="1" applyFill="1" applyBorder="1"/>
    <xf numFmtId="0" fontId="0" fillId="0" borderId="28" xfId="0" applyBorder="1"/>
    <xf numFmtId="0" fontId="9" fillId="0" borderId="22" xfId="0" quotePrefix="1" applyFont="1" applyBorder="1" applyAlignment="1">
      <alignment horizontal="left" vertical="center" wrapText="1"/>
    </xf>
    <xf numFmtId="0" fontId="0" fillId="0" borderId="0" xfId="0" applyAlignment="1">
      <alignment horizontal="left" vertical="center" wrapText="1"/>
    </xf>
    <xf numFmtId="0" fontId="0" fillId="0" borderId="52" xfId="0" applyBorder="1" applyAlignment="1">
      <alignment horizontal="left" vertical="center" wrapText="1"/>
    </xf>
    <xf numFmtId="0" fontId="44" fillId="17" borderId="23" xfId="0" applyFont="1"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42" fontId="33" fillId="17" borderId="45" xfId="0" applyNumberFormat="1" applyFont="1" applyFill="1" applyBorder="1" applyAlignment="1">
      <alignment horizontal="center" vertical="center"/>
    </xf>
    <xf numFmtId="42" fontId="0" fillId="0" borderId="46" xfId="0" applyNumberFormat="1" applyBorder="1" applyAlignment="1">
      <alignment horizontal="center" vertical="center"/>
    </xf>
    <xf numFmtId="42" fontId="0" fillId="0" borderId="47" xfId="0" applyNumberFormat="1" applyBorder="1" applyAlignment="1">
      <alignment horizontal="center" vertical="center"/>
    </xf>
    <xf numFmtId="42" fontId="33" fillId="17" borderId="8" xfId="0" applyNumberFormat="1" applyFont="1" applyFill="1" applyBorder="1" applyAlignment="1">
      <alignment horizontal="center" vertical="center"/>
    </xf>
    <xf numFmtId="42" fontId="0" fillId="0" borderId="9" xfId="0" applyNumberFormat="1" applyBorder="1" applyAlignment="1">
      <alignment horizontal="center" vertical="center"/>
    </xf>
    <xf numFmtId="42" fontId="0" fillId="0" borderId="26" xfId="0" applyNumberFormat="1" applyBorder="1" applyAlignment="1">
      <alignment horizontal="center" vertical="center"/>
    </xf>
    <xf numFmtId="42" fontId="33" fillId="17" borderId="23" xfId="0" applyNumberFormat="1" applyFont="1" applyFill="1" applyBorder="1" applyAlignment="1">
      <alignment horizontal="center" vertical="center"/>
    </xf>
    <xf numFmtId="0" fontId="33" fillId="17" borderId="23" xfId="0" applyFont="1" applyFill="1" applyBorder="1" applyAlignment="1">
      <alignment horizontal="center" vertical="center"/>
    </xf>
    <xf numFmtId="0" fontId="3" fillId="17" borderId="14" xfId="0" applyFont="1" applyFill="1" applyBorder="1" applyAlignment="1">
      <alignment horizontal="center" vertical="center"/>
    </xf>
    <xf numFmtId="0" fontId="3" fillId="17" borderId="24" xfId="0" applyFont="1" applyFill="1" applyBorder="1" applyAlignment="1">
      <alignment horizontal="center" vertical="center"/>
    </xf>
    <xf numFmtId="0" fontId="9" fillId="22" borderId="44" xfId="0" applyFont="1" applyFill="1" applyBorder="1" applyAlignment="1">
      <alignment horizontal="left" vertical="center" wrapText="1"/>
    </xf>
    <xf numFmtId="0" fontId="0" fillId="22" borderId="44" xfId="0" applyFill="1" applyBorder="1" applyAlignment="1">
      <alignment horizontal="left" vertical="center" wrapText="1"/>
    </xf>
    <xf numFmtId="42" fontId="33" fillId="17" borderId="71" xfId="0" applyNumberFormat="1" applyFont="1" applyFill="1" applyBorder="1" applyAlignment="1">
      <alignment horizontal="center" vertical="center"/>
    </xf>
    <xf numFmtId="42" fontId="44" fillId="0" borderId="46" xfId="0" applyNumberFormat="1" applyFont="1" applyBorder="1" applyAlignment="1">
      <alignment horizontal="center" vertical="center"/>
    </xf>
    <xf numFmtId="42" fontId="44" fillId="0" borderId="47" xfId="0" applyNumberFormat="1" applyFont="1" applyBorder="1" applyAlignment="1">
      <alignment horizontal="center" vertical="center"/>
    </xf>
    <xf numFmtId="42" fontId="33" fillId="17" borderId="15" xfId="0" applyNumberFormat="1" applyFont="1" applyFill="1" applyBorder="1" applyAlignment="1">
      <alignment horizontal="center" vertical="center"/>
    </xf>
    <xf numFmtId="42" fontId="44" fillId="0" borderId="9" xfId="0" applyNumberFormat="1" applyFont="1" applyBorder="1" applyAlignment="1">
      <alignment horizontal="center" vertical="center"/>
    </xf>
    <xf numFmtId="42" fontId="44" fillId="0" borderId="26" xfId="0" applyNumberFormat="1" applyFont="1" applyBorder="1" applyAlignment="1">
      <alignment horizontal="center" vertical="center"/>
    </xf>
    <xf numFmtId="42" fontId="44" fillId="0" borderId="76" xfId="0" applyNumberFormat="1" applyFont="1" applyBorder="1" applyAlignment="1">
      <alignment horizontal="center" vertical="center"/>
    </xf>
    <xf numFmtId="42" fontId="44" fillId="0" borderId="10" xfId="0" applyNumberFormat="1" applyFont="1" applyBorder="1" applyAlignment="1">
      <alignment horizontal="center" vertical="center"/>
    </xf>
    <xf numFmtId="42" fontId="33" fillId="17" borderId="10" xfId="0" applyNumberFormat="1" applyFont="1" applyFill="1" applyBorder="1" applyAlignment="1">
      <alignment horizontal="center" vertical="center"/>
    </xf>
    <xf numFmtId="0" fontId="33" fillId="17" borderId="24" xfId="0" applyFont="1" applyFill="1" applyBorder="1" applyAlignment="1">
      <alignment horizontal="center" vertical="center"/>
    </xf>
    <xf numFmtId="0" fontId="3" fillId="15" borderId="1" xfId="0" applyFont="1" applyFill="1" applyBorder="1" applyAlignment="1">
      <alignment horizontal="right" vertical="center"/>
    </xf>
    <xf numFmtId="0" fontId="0" fillId="15" borderId="1" xfId="0" applyFill="1" applyBorder="1" applyAlignment="1">
      <alignment vertical="center"/>
    </xf>
    <xf numFmtId="42" fontId="3" fillId="14" borderId="1" xfId="0" applyNumberFormat="1" applyFont="1" applyFill="1" applyBorder="1" applyAlignment="1">
      <alignment horizontal="right" vertical="center"/>
    </xf>
    <xf numFmtId="0" fontId="0" fillId="14" borderId="1" xfId="0" applyFill="1" applyBorder="1" applyAlignment="1">
      <alignment vertical="center"/>
    </xf>
    <xf numFmtId="42" fontId="32" fillId="0" borderId="1" xfId="0" applyNumberFormat="1" applyFont="1" applyBorder="1" applyAlignment="1">
      <alignment horizontal="left" vertical="center"/>
    </xf>
    <xf numFmtId="0" fontId="46" fillId="0" borderId="1" xfId="0" applyFont="1" applyBorder="1" applyAlignment="1">
      <alignment horizontal="left" vertical="center"/>
    </xf>
    <xf numFmtId="42" fontId="33" fillId="17" borderId="46" xfId="0" applyNumberFormat="1" applyFont="1" applyFill="1" applyBorder="1" applyAlignment="1">
      <alignment horizontal="center" vertical="center"/>
    </xf>
    <xf numFmtId="42" fontId="33" fillId="17" borderId="9" xfId="0" applyNumberFormat="1" applyFont="1" applyFill="1" applyBorder="1" applyAlignment="1">
      <alignment horizontal="center" vertical="center"/>
    </xf>
    <xf numFmtId="42" fontId="0" fillId="0" borderId="10" xfId="0" applyNumberFormat="1" applyBorder="1" applyAlignment="1">
      <alignment horizontal="center" vertical="center"/>
    </xf>
    <xf numFmtId="42" fontId="0" fillId="0" borderId="76" xfId="0" applyNumberFormat="1" applyBorder="1" applyAlignment="1">
      <alignment horizontal="center" vertical="center"/>
    </xf>
    <xf numFmtId="42" fontId="33" fillId="17" borderId="49" xfId="0" applyNumberFormat="1" applyFont="1"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vertical="center"/>
    </xf>
    <xf numFmtId="0" fontId="0" fillId="0" borderId="51" xfId="0" applyBorder="1" applyAlignment="1">
      <alignment vertical="center"/>
    </xf>
    <xf numFmtId="0" fontId="33" fillId="17" borderId="30" xfId="0" applyFont="1" applyFill="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48" xfId="0" applyFont="1" applyFill="1" applyBorder="1" applyAlignment="1">
      <alignment horizontal="center" vertical="center"/>
    </xf>
    <xf numFmtId="0" fontId="0" fillId="0" borderId="28" xfId="0" applyBorder="1" applyAlignment="1">
      <alignment horizontal="center" vertical="center"/>
    </xf>
    <xf numFmtId="0" fontId="11" fillId="23" borderId="48" xfId="0" applyFont="1" applyFill="1" applyBorder="1" applyAlignment="1">
      <alignment horizontal="center" vertical="center"/>
    </xf>
    <xf numFmtId="0" fontId="11" fillId="23" borderId="28" xfId="0" applyFont="1" applyFill="1" applyBorder="1" applyAlignment="1">
      <alignment horizontal="center" vertical="center"/>
    </xf>
    <xf numFmtId="0" fontId="3" fillId="23" borderId="22" xfId="0" applyFont="1" applyFill="1" applyBorder="1" applyAlignment="1">
      <alignment horizontal="center" vertical="center"/>
    </xf>
    <xf numFmtId="0" fontId="3" fillId="23" borderId="50" xfId="0" applyFont="1" applyFill="1" applyBorder="1" applyAlignment="1">
      <alignment vertical="center"/>
    </xf>
    <xf numFmtId="0" fontId="3" fillId="2" borderId="14" xfId="0" applyFont="1" applyFill="1" applyBorder="1" applyAlignment="1">
      <alignment horizontal="center" vertical="center" wrapText="1"/>
    </xf>
    <xf numFmtId="0" fontId="3" fillId="23" borderId="48" xfId="0" applyFont="1" applyFill="1" applyBorder="1" applyAlignment="1">
      <alignment horizontal="center" vertical="center"/>
    </xf>
    <xf numFmtId="0" fontId="3" fillId="23" borderId="28" xfId="0" applyFont="1" applyFill="1" applyBorder="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7" xfId="0" applyFont="1" applyFill="1" applyBorder="1" applyAlignment="1">
      <alignment horizontal="center" vertical="center" wrapText="1"/>
    </xf>
    <xf numFmtId="44" fontId="3" fillId="2" borderId="48" xfId="0" applyNumberFormat="1" applyFont="1" applyFill="1" applyBorder="1" applyAlignment="1">
      <alignment horizontal="center" vertical="center"/>
    </xf>
    <xf numFmtId="0" fontId="3" fillId="3" borderId="48" xfId="0" applyFont="1" applyFill="1" applyBorder="1" applyAlignment="1">
      <alignment horizontal="right" vertical="center"/>
    </xf>
    <xf numFmtId="0" fontId="0" fillId="3" borderId="19" xfId="0" applyFill="1" applyBorder="1" applyAlignment="1">
      <alignment vertical="center"/>
    </xf>
    <xf numFmtId="0" fontId="0" fillId="0" borderId="3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3" fillId="23" borderId="48" xfId="0" applyFont="1" applyFill="1" applyBorder="1" applyAlignment="1">
      <alignment horizontal="center" vertical="center" wrapText="1"/>
    </xf>
    <xf numFmtId="0" fontId="3" fillId="23" borderId="28" xfId="0" applyFont="1" applyFill="1" applyBorder="1" applyAlignment="1">
      <alignment horizontal="center" vertical="center" wrapText="1"/>
    </xf>
    <xf numFmtId="0" fontId="11" fillId="5" borderId="4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8" xfId="0" applyFont="1" applyFill="1" applyBorder="1" applyAlignment="1">
      <alignment horizontal="center" vertical="center"/>
    </xf>
    <xf numFmtId="0" fontId="11" fillId="3" borderId="48" xfId="0" applyFont="1" applyFill="1" applyBorder="1" applyAlignment="1">
      <alignment horizontal="right" vertical="center"/>
    </xf>
    <xf numFmtId="0" fontId="9" fillId="3" borderId="19" xfId="0" applyFont="1" applyFill="1" applyBorder="1" applyAlignment="1">
      <alignment horizontal="right" vertical="center"/>
    </xf>
    <xf numFmtId="0" fontId="9" fillId="3" borderId="28" xfId="0" applyFont="1" applyFill="1" applyBorder="1" applyAlignment="1">
      <alignment horizontal="right" vertical="center"/>
    </xf>
    <xf numFmtId="0" fontId="11" fillId="2" borderId="36" xfId="0" applyFont="1" applyFill="1" applyBorder="1" applyAlignment="1">
      <alignment horizontal="right" vertical="center"/>
    </xf>
    <xf numFmtId="0" fontId="9" fillId="2" borderId="5" xfId="0" applyFont="1" applyFill="1" applyBorder="1" applyAlignment="1">
      <alignment vertical="center"/>
    </xf>
    <xf numFmtId="0" fontId="9" fillId="0" borderId="19" xfId="0" applyFont="1" applyBorder="1" applyAlignment="1">
      <alignment horizontal="right" vertical="center"/>
    </xf>
    <xf numFmtId="0" fontId="3" fillId="3" borderId="51" xfId="0" applyFont="1" applyFill="1" applyBorder="1" applyAlignment="1">
      <alignment horizontal="right" vertical="center"/>
    </xf>
    <xf numFmtId="0" fontId="3" fillId="0" borderId="52" xfId="0" applyFont="1" applyBorder="1" applyAlignment="1">
      <alignment horizontal="right" vertical="center"/>
    </xf>
    <xf numFmtId="0" fontId="0" fillId="0" borderId="48"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vertical="center"/>
    </xf>
    <xf numFmtId="0" fontId="3" fillId="2" borderId="48" xfId="0" applyFont="1" applyFill="1" applyBorder="1" applyAlignment="1">
      <alignment horizontal="right" vertical="center"/>
    </xf>
    <xf numFmtId="0" fontId="3" fillId="2" borderId="28" xfId="0" applyFont="1" applyFill="1" applyBorder="1" applyAlignment="1">
      <alignment horizontal="right" vertical="center"/>
    </xf>
    <xf numFmtId="0" fontId="22" fillId="14" borderId="48" xfId="0" applyFont="1" applyFill="1" applyBorder="1" applyAlignment="1">
      <alignment horizontal="left" vertical="center"/>
    </xf>
    <xf numFmtId="0" fontId="0" fillId="14" borderId="19" xfId="0" applyFill="1" applyBorder="1" applyAlignment="1">
      <alignment horizontal="left" vertical="center"/>
    </xf>
    <xf numFmtId="0" fontId="0" fillId="14" borderId="28" xfId="0" applyFill="1" applyBorder="1" applyAlignment="1">
      <alignment horizontal="left" vertical="center"/>
    </xf>
    <xf numFmtId="0" fontId="0" fillId="3" borderId="19" xfId="0" applyFill="1" applyBorder="1" applyAlignment="1">
      <alignment horizontal="right" vertical="center"/>
    </xf>
    <xf numFmtId="0" fontId="0" fillId="3" borderId="28" xfId="0" applyFill="1" applyBorder="1" applyAlignment="1">
      <alignment horizontal="right" vertical="center"/>
    </xf>
    <xf numFmtId="0" fontId="3" fillId="14" borderId="48" xfId="0" applyFont="1" applyFill="1" applyBorder="1" applyAlignment="1">
      <alignment horizontal="center" vertical="center"/>
    </xf>
    <xf numFmtId="0" fontId="3" fillId="14" borderId="19" xfId="0" applyFont="1" applyFill="1" applyBorder="1" applyAlignment="1">
      <alignment horizontal="center" vertical="center"/>
    </xf>
    <xf numFmtId="0" fontId="59" fillId="0" borderId="22" xfId="0" applyFont="1" applyBorder="1" applyAlignment="1">
      <alignment horizontal="center" vertical="center"/>
    </xf>
    <xf numFmtId="0" fontId="39" fillId="0" borderId="22" xfId="0" applyFont="1" applyBorder="1" applyAlignment="1">
      <alignment horizontal="center" vertical="center"/>
    </xf>
    <xf numFmtId="0" fontId="22" fillId="0" borderId="49" xfId="0" applyFont="1" applyBorder="1" applyAlignment="1">
      <alignment vertical="center"/>
    </xf>
    <xf numFmtId="0" fontId="2" fillId="0" borderId="22" xfId="0" applyFont="1" applyBorder="1" applyAlignment="1">
      <alignment vertical="center"/>
    </xf>
    <xf numFmtId="0" fontId="2" fillId="0" borderId="50" xfId="0" applyFont="1" applyBorder="1" applyAlignment="1">
      <alignment vertical="center"/>
    </xf>
    <xf numFmtId="0" fontId="0" fillId="0" borderId="43" xfId="0" applyBorder="1" applyAlignment="1">
      <alignment horizontal="right" vertical="center"/>
    </xf>
    <xf numFmtId="0" fontId="0" fillId="0" borderId="41" xfId="0" applyBorder="1" applyAlignment="1">
      <alignment vertical="center"/>
    </xf>
    <xf numFmtId="0" fontId="20" fillId="0" borderId="44" xfId="0" applyFont="1" applyBorder="1" applyAlignment="1">
      <alignment vertical="center"/>
    </xf>
    <xf numFmtId="0" fontId="0" fillId="0" borderId="0" xfId="0" applyAlignment="1">
      <alignment vertical="center"/>
    </xf>
    <xf numFmtId="0" fontId="0" fillId="0" borderId="30" xfId="0" applyBorder="1" applyAlignment="1">
      <alignment vertical="center"/>
    </xf>
    <xf numFmtId="0" fontId="3" fillId="14" borderId="52" xfId="0" applyFont="1" applyFill="1" applyBorder="1" applyAlignment="1">
      <alignment horizontal="center" vertical="center"/>
    </xf>
    <xf numFmtId="0" fontId="0" fillId="0" borderId="34"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3" fillId="2" borderId="48" xfId="0" applyFont="1" applyFill="1" applyBorder="1" applyAlignment="1">
      <alignment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0" fontId="3" fillId="3" borderId="36" xfId="0" applyFont="1" applyFill="1" applyBorder="1" applyAlignment="1">
      <alignment horizontal="right" vertical="center"/>
    </xf>
    <xf numFmtId="0" fontId="3" fillId="3" borderId="40" xfId="0" applyFont="1" applyFill="1" applyBorder="1" applyAlignment="1">
      <alignment vertical="center"/>
    </xf>
    <xf numFmtId="0" fontId="3" fillId="3" borderId="19" xfId="0" applyFont="1" applyFill="1" applyBorder="1" applyAlignment="1">
      <alignment horizontal="right" vertical="center"/>
    </xf>
    <xf numFmtId="0" fontId="3" fillId="2" borderId="77" xfId="0" applyFont="1" applyFill="1" applyBorder="1" applyAlignment="1">
      <alignment vertical="center"/>
    </xf>
    <xf numFmtId="0" fontId="3" fillId="2" borderId="61" xfId="0" applyFont="1" applyFill="1" applyBorder="1" applyAlignment="1">
      <alignment vertical="center"/>
    </xf>
    <xf numFmtId="0" fontId="3" fillId="2" borderId="62" xfId="0" applyFont="1" applyFill="1" applyBorder="1" applyAlignment="1">
      <alignment vertical="center"/>
    </xf>
    <xf numFmtId="0" fontId="0" fillId="0" borderId="3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9" fillId="0" borderId="22" xfId="0" applyFont="1" applyBorder="1" applyAlignment="1">
      <alignment vertical="center" wrapText="1"/>
    </xf>
    <xf numFmtId="0" fontId="9" fillId="0" borderId="50" xfId="0" applyFont="1" applyBorder="1" applyAlignment="1">
      <alignment vertical="center" wrapText="1"/>
    </xf>
    <xf numFmtId="0" fontId="9" fillId="0" borderId="52" xfId="0" applyFont="1" applyBorder="1" applyAlignment="1">
      <alignment vertical="center" wrapText="1"/>
    </xf>
    <xf numFmtId="0" fontId="9" fillId="0" borderId="29" xfId="0" applyFont="1" applyBorder="1" applyAlignment="1">
      <alignment vertical="center" wrapText="1"/>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0" fillId="0" borderId="56" xfId="0" applyBorder="1" applyAlignment="1">
      <alignment vertical="center"/>
    </xf>
    <xf numFmtId="0" fontId="0" fillId="0" borderId="45" xfId="0" applyBorder="1" applyAlignment="1">
      <alignment vertical="center"/>
    </xf>
    <xf numFmtId="0" fontId="0" fillId="0" borderId="31" xfId="0" applyBorder="1" applyAlignment="1">
      <alignment vertical="center"/>
    </xf>
    <xf numFmtId="0" fontId="0" fillId="0" borderId="54" xfId="0" applyBorder="1" applyAlignment="1">
      <alignment vertical="center"/>
    </xf>
    <xf numFmtId="0" fontId="0" fillId="0" borderId="46" xfId="0" applyBorder="1" applyAlignment="1">
      <alignment vertical="center"/>
    </xf>
    <xf numFmtId="0" fontId="0" fillId="0" borderId="58" xfId="0" applyBorder="1" applyAlignment="1">
      <alignment vertical="center"/>
    </xf>
    <xf numFmtId="0" fontId="0" fillId="0" borderId="22" xfId="0" applyBorder="1" applyAlignment="1">
      <alignment vertical="center"/>
    </xf>
    <xf numFmtId="0" fontId="0" fillId="0" borderId="50" xfId="0" applyBorder="1" applyAlignment="1">
      <alignment vertical="center"/>
    </xf>
    <xf numFmtId="0" fontId="0" fillId="0" borderId="49" xfId="0" applyBorder="1" applyAlignment="1">
      <alignment vertical="center" wrapText="1"/>
    </xf>
    <xf numFmtId="0" fontId="0" fillId="0" borderId="22" xfId="0" applyBorder="1" applyAlignment="1">
      <alignment vertical="center" wrapText="1"/>
    </xf>
    <xf numFmtId="0" fontId="0" fillId="0" borderId="5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29" xfId="0" applyBorder="1" applyAlignment="1">
      <alignment vertical="center" wrapText="1"/>
    </xf>
    <xf numFmtId="0" fontId="3" fillId="2" borderId="33" xfId="0" applyFont="1" applyFill="1" applyBorder="1" applyAlignment="1">
      <alignment horizontal="right" vertical="center"/>
    </xf>
    <xf numFmtId="0" fontId="0" fillId="2" borderId="38" xfId="0" applyFill="1" applyBorder="1" applyAlignment="1">
      <alignment vertical="center"/>
    </xf>
    <xf numFmtId="0" fontId="3" fillId="2" borderId="35" xfId="0" applyFont="1" applyFill="1" applyBorder="1" applyAlignment="1">
      <alignment horizontal="right" vertical="center"/>
    </xf>
    <xf numFmtId="0" fontId="0" fillId="2" borderId="39" xfId="0" applyFill="1" applyBorder="1" applyAlignment="1">
      <alignment vertical="center"/>
    </xf>
    <xf numFmtId="0" fontId="0" fillId="15" borderId="37" xfId="0" applyFill="1" applyBorder="1" applyAlignment="1">
      <alignment vertical="center"/>
    </xf>
    <xf numFmtId="0" fontId="0" fillId="15" borderId="39" xfId="0" applyFill="1" applyBorder="1" applyAlignment="1">
      <alignment horizontal="left" vertical="center"/>
    </xf>
    <xf numFmtId="0" fontId="0" fillId="15" borderId="47" xfId="0" applyFill="1" applyBorder="1" applyAlignment="1">
      <alignment vertical="center"/>
    </xf>
    <xf numFmtId="0" fontId="3" fillId="2" borderId="36" xfId="0" applyFont="1" applyFill="1" applyBorder="1" applyAlignment="1">
      <alignment horizontal="right" vertical="center"/>
    </xf>
    <xf numFmtId="0" fontId="0" fillId="2" borderId="5" xfId="0" applyFill="1" applyBorder="1" applyAlignment="1">
      <alignment vertical="center"/>
    </xf>
    <xf numFmtId="0" fontId="11" fillId="2" borderId="67" xfId="0" applyFont="1" applyFill="1" applyBorder="1" applyAlignment="1">
      <alignment horizontal="left" vertical="center"/>
    </xf>
    <xf numFmtId="0" fontId="0" fillId="0" borderId="19" xfId="0" applyBorder="1" applyAlignment="1">
      <alignment vertical="center"/>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70"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0" borderId="64" xfId="0" applyBorder="1" applyAlignment="1">
      <alignment vertical="center"/>
    </xf>
    <xf numFmtId="0" fontId="0" fillId="0" borderId="6" xfId="0" applyBorder="1" applyAlignment="1">
      <alignment vertical="center"/>
    </xf>
    <xf numFmtId="0" fontId="13" fillId="0" borderId="6" xfId="2" applyBorder="1" applyAlignment="1">
      <alignment vertical="center"/>
    </xf>
    <xf numFmtId="0" fontId="0" fillId="0" borderId="65" xfId="0" applyBorder="1" applyAlignment="1">
      <alignment vertical="center"/>
    </xf>
    <xf numFmtId="0" fontId="0" fillId="0" borderId="35" xfId="0" applyBorder="1" applyAlignment="1">
      <alignment horizontal="right" vertical="center"/>
    </xf>
    <xf numFmtId="0" fontId="0" fillId="0" borderId="39" xfId="0" applyBorder="1" applyAlignment="1">
      <alignment vertical="center"/>
    </xf>
    <xf numFmtId="0" fontId="15" fillId="2" borderId="36" xfId="0" applyFont="1" applyFill="1" applyBorder="1" applyAlignment="1">
      <alignment horizontal="center" vertical="center"/>
    </xf>
    <xf numFmtId="0" fontId="0" fillId="0" borderId="40" xfId="0" applyBorder="1" applyAlignment="1">
      <alignment horizontal="center" vertical="center"/>
    </xf>
    <xf numFmtId="0" fontId="11" fillId="2" borderId="4" xfId="0" applyFont="1" applyFill="1" applyBorder="1" applyAlignment="1">
      <alignment horizontal="left" vertical="center"/>
    </xf>
    <xf numFmtId="0" fontId="0" fillId="0" borderId="40" xfId="0" applyBorder="1" applyAlignment="1">
      <alignment vertical="center"/>
    </xf>
    <xf numFmtId="0" fontId="0" fillId="15" borderId="17" xfId="0" applyFill="1" applyBorder="1" applyAlignment="1">
      <alignment vertical="center"/>
    </xf>
    <xf numFmtId="0" fontId="0" fillId="15" borderId="41" xfId="0" applyFill="1" applyBorder="1" applyAlignment="1">
      <alignment vertical="center"/>
    </xf>
    <xf numFmtId="0" fontId="0" fillId="15" borderId="20" xfId="0" applyFill="1" applyBorder="1" applyAlignment="1">
      <alignment vertical="center"/>
    </xf>
    <xf numFmtId="0" fontId="0" fillId="15" borderId="39" xfId="0" applyFill="1" applyBorder="1" applyAlignment="1">
      <alignment vertical="center"/>
    </xf>
    <xf numFmtId="0" fontId="11" fillId="2" borderId="22" xfId="0" applyFont="1" applyFill="1" applyBorder="1" applyAlignment="1">
      <alignment vertical="center"/>
    </xf>
    <xf numFmtId="0" fontId="11" fillId="2" borderId="50" xfId="0" applyFont="1" applyFill="1" applyBorder="1" applyAlignment="1">
      <alignment vertical="center"/>
    </xf>
    <xf numFmtId="0" fontId="3" fillId="2" borderId="36" xfId="0" applyFont="1" applyFill="1" applyBorder="1" applyAlignment="1">
      <alignment vertical="center"/>
    </xf>
    <xf numFmtId="0" fontId="0" fillId="0" borderId="4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15" borderId="38" xfId="0" applyFill="1" applyBorder="1" applyAlignment="1">
      <alignment horizontal="left" vertical="center"/>
    </xf>
    <xf numFmtId="0" fontId="0" fillId="15" borderId="45" xfId="0" applyFill="1" applyBorder="1" applyAlignment="1">
      <alignment vertical="center"/>
    </xf>
    <xf numFmtId="0" fontId="0" fillId="15" borderId="37" xfId="0" applyFill="1" applyBorder="1" applyAlignment="1">
      <alignment horizontal="left" vertical="center"/>
    </xf>
    <xf numFmtId="0" fontId="0" fillId="15" borderId="46" xfId="0" applyFill="1" applyBorder="1" applyAlignment="1">
      <alignment horizontal="left" vertical="center"/>
    </xf>
    <xf numFmtId="0" fontId="0" fillId="15" borderId="7" xfId="0" applyFill="1" applyBorder="1" applyAlignment="1">
      <alignment horizontal="left" vertical="center"/>
    </xf>
    <xf numFmtId="42" fontId="11" fillId="7" borderId="48" xfId="0" applyNumberFormat="1" applyFont="1" applyFill="1" applyBorder="1" applyAlignment="1">
      <alignment horizontal="center" vertical="center"/>
    </xf>
    <xf numFmtId="0" fontId="9" fillId="7" borderId="28" xfId="0" applyFont="1" applyFill="1" applyBorder="1" applyAlignment="1">
      <alignment vertical="center"/>
    </xf>
    <xf numFmtId="0" fontId="9" fillId="0" borderId="36" xfId="2" applyFont="1" applyBorder="1" applyAlignment="1">
      <alignment vertical="center"/>
    </xf>
    <xf numFmtId="0" fontId="47" fillId="0" borderId="4" xfId="0" applyFont="1" applyBorder="1" applyAlignment="1">
      <alignment vertical="center"/>
    </xf>
    <xf numFmtId="0" fontId="47" fillId="0" borderId="5" xfId="0" applyFont="1" applyBorder="1" applyAlignment="1">
      <alignment vertical="center"/>
    </xf>
    <xf numFmtId="0" fontId="0" fillId="0" borderId="44" xfId="0" applyBorder="1" applyAlignment="1">
      <alignment vertical="center" wrapText="1"/>
    </xf>
    <xf numFmtId="44" fontId="0" fillId="0" borderId="51" xfId="0" applyNumberFormat="1" applyBorder="1" applyAlignment="1">
      <alignment horizontal="left" vertical="center"/>
    </xf>
    <xf numFmtId="0" fontId="0" fillId="0" borderId="57" xfId="0" applyBorder="1" applyAlignment="1">
      <alignment vertical="center"/>
    </xf>
    <xf numFmtId="0" fontId="0" fillId="0" borderId="47" xfId="0" applyBorder="1" applyAlignment="1">
      <alignment vertical="center"/>
    </xf>
    <xf numFmtId="0" fontId="0" fillId="0" borderId="32" xfId="0" applyBorder="1" applyAlignment="1">
      <alignment vertical="center"/>
    </xf>
    <xf numFmtId="0" fontId="10" fillId="0" borderId="19" xfId="0" applyFont="1" applyBorder="1" applyAlignment="1">
      <alignment vertical="center"/>
    </xf>
    <xf numFmtId="0" fontId="10" fillId="0" borderId="28" xfId="0" applyFont="1" applyBorder="1" applyAlignment="1">
      <alignment vertical="center"/>
    </xf>
    <xf numFmtId="0" fontId="3" fillId="0" borderId="4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49" xfId="0" applyBorder="1" applyAlignment="1">
      <alignment horizontal="left" vertical="center"/>
    </xf>
    <xf numFmtId="0" fontId="0" fillId="0" borderId="22" xfId="0" applyBorder="1" applyAlignment="1">
      <alignment horizontal="left" vertical="center"/>
    </xf>
    <xf numFmtId="0" fontId="0" fillId="0" borderId="50" xfId="0" applyBorder="1" applyAlignment="1">
      <alignment horizontal="left" vertical="center"/>
    </xf>
    <xf numFmtId="0" fontId="0" fillId="0" borderId="44"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9" xfId="0" applyBorder="1" applyAlignment="1">
      <alignment horizontal="left" vertical="center"/>
    </xf>
    <xf numFmtId="0" fontId="0" fillId="0" borderId="40" xfId="0" quotePrefix="1" applyBorder="1" applyAlignment="1">
      <alignment vertical="center"/>
    </xf>
    <xf numFmtId="0" fontId="0" fillId="0" borderId="19" xfId="0" quotePrefix="1" applyBorder="1" applyAlignment="1">
      <alignment vertical="center"/>
    </xf>
    <xf numFmtId="0" fontId="0" fillId="0" borderId="28" xfId="0" quotePrefix="1" applyBorder="1" applyAlignment="1">
      <alignment vertical="center"/>
    </xf>
    <xf numFmtId="0" fontId="0" fillId="0" borderId="55" xfId="0" applyBorder="1" applyAlignment="1">
      <alignment vertical="center"/>
    </xf>
    <xf numFmtId="0" fontId="0" fillId="0" borderId="76" xfId="0" applyBorder="1" applyAlignment="1">
      <alignment vertical="center"/>
    </xf>
    <xf numFmtId="0" fontId="0" fillId="0" borderId="72" xfId="0" applyBorder="1" applyAlignment="1">
      <alignment vertical="center"/>
    </xf>
    <xf numFmtId="0" fontId="13" fillId="0" borderId="39" xfId="2" applyBorder="1" applyAlignment="1">
      <alignment vertical="center"/>
    </xf>
    <xf numFmtId="0" fontId="13" fillId="0" borderId="47" xfId="2" applyBorder="1" applyAlignment="1">
      <alignment vertical="center"/>
    </xf>
    <xf numFmtId="0" fontId="13" fillId="0" borderId="32" xfId="2" applyBorder="1" applyAlignment="1">
      <alignment vertical="center"/>
    </xf>
    <xf numFmtId="0" fontId="49" fillId="0" borderId="54" xfId="0" applyFont="1" applyBorder="1" applyAlignment="1">
      <alignment horizontal="left" vertical="center"/>
    </xf>
    <xf numFmtId="0" fontId="49" fillId="0" borderId="46" xfId="0" applyFont="1" applyBorder="1" applyAlignment="1">
      <alignment horizontal="left" vertical="center"/>
    </xf>
    <xf numFmtId="0" fontId="49" fillId="0" borderId="58" xfId="0" applyFont="1" applyBorder="1" applyAlignment="1">
      <alignment horizontal="left" vertical="center"/>
    </xf>
    <xf numFmtId="0" fontId="49" fillId="0" borderId="56" xfId="0" applyFont="1" applyBorder="1" applyAlignment="1">
      <alignment horizontal="left" vertical="center"/>
    </xf>
    <xf numFmtId="0" fontId="49" fillId="0" borderId="45" xfId="0" applyFont="1" applyBorder="1" applyAlignment="1">
      <alignment horizontal="left" vertical="center"/>
    </xf>
    <xf numFmtId="0" fontId="49" fillId="0" borderId="31" xfId="0" applyFont="1" applyBorder="1" applyAlignment="1">
      <alignment horizontal="left" vertical="center"/>
    </xf>
    <xf numFmtId="44" fontId="9" fillId="0" borderId="36" xfId="0" applyNumberFormat="1" applyFont="1" applyBorder="1" applyAlignment="1">
      <alignment horizontal="center" vertical="center"/>
    </xf>
    <xf numFmtId="0" fontId="9" fillId="0" borderId="40" xfId="0" applyFont="1" applyBorder="1" applyAlignment="1">
      <alignment horizontal="center" vertical="center"/>
    </xf>
    <xf numFmtId="44" fontId="0" fillId="0" borderId="48" xfId="0" applyNumberFormat="1" applyBorder="1" applyAlignment="1">
      <alignment vertical="center"/>
    </xf>
    <xf numFmtId="44" fontId="0" fillId="0" borderId="19" xfId="0" applyNumberFormat="1" applyBorder="1" applyAlignment="1">
      <alignment vertical="center"/>
    </xf>
    <xf numFmtId="44" fontId="0" fillId="0" borderId="28" xfId="0" applyNumberFormat="1" applyBorder="1" applyAlignment="1">
      <alignment vertical="center"/>
    </xf>
    <xf numFmtId="0" fontId="9" fillId="7" borderId="48" xfId="0" applyFont="1" applyFill="1" applyBorder="1" applyAlignment="1">
      <alignment horizontal="right" vertical="center"/>
    </xf>
    <xf numFmtId="0" fontId="9" fillId="7" borderId="70" xfId="0" applyFont="1" applyFill="1" applyBorder="1" applyAlignment="1">
      <alignment horizontal="right" vertical="center"/>
    </xf>
    <xf numFmtId="0" fontId="15" fillId="2" borderId="4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70" xfId="0" applyFont="1" applyFill="1" applyBorder="1" applyAlignment="1">
      <alignment horizontal="left" vertical="center"/>
    </xf>
    <xf numFmtId="0" fontId="9" fillId="22" borderId="56" xfId="0" applyFont="1" applyFill="1" applyBorder="1" applyAlignment="1">
      <alignment horizontal="left" vertical="center" wrapText="1"/>
    </xf>
    <xf numFmtId="0" fontId="9" fillId="22" borderId="45" xfId="0" applyFont="1" applyFill="1" applyBorder="1" applyAlignment="1">
      <alignment horizontal="left" vertical="center" wrapText="1"/>
    </xf>
    <xf numFmtId="0" fontId="9" fillId="22" borderId="31" xfId="0" applyFont="1" applyFill="1" applyBorder="1" applyAlignment="1">
      <alignment horizontal="left" vertical="center" wrapText="1"/>
    </xf>
    <xf numFmtId="0" fontId="73" fillId="0" borderId="48" xfId="2" applyFont="1" applyBorder="1" applyAlignment="1">
      <alignment vertical="center"/>
    </xf>
    <xf numFmtId="0" fontId="73" fillId="0" borderId="19" xfId="2" applyFont="1" applyBorder="1" applyAlignment="1">
      <alignment vertical="center"/>
    </xf>
    <xf numFmtId="0" fontId="73" fillId="0" borderId="28" xfId="2" applyFont="1" applyBorder="1" applyAlignment="1">
      <alignment vertical="center"/>
    </xf>
    <xf numFmtId="0" fontId="0" fillId="0" borderId="48" xfId="0" applyBorder="1" applyAlignment="1">
      <alignment vertical="center"/>
    </xf>
    <xf numFmtId="0" fontId="3" fillId="14" borderId="49" xfId="0" applyFont="1" applyFill="1" applyBorder="1" applyAlignment="1">
      <alignment horizontal="center" vertical="center" wrapText="1"/>
    </xf>
    <xf numFmtId="0" fontId="3" fillId="14" borderId="22" xfId="0" applyFont="1" applyFill="1" applyBorder="1" applyAlignment="1">
      <alignment horizontal="center" vertical="center" wrapText="1"/>
    </xf>
    <xf numFmtId="0" fontId="3" fillId="14" borderId="50" xfId="0" applyFont="1" applyFill="1" applyBorder="1" applyAlignment="1">
      <alignment horizontal="center" vertical="center" wrapText="1"/>
    </xf>
    <xf numFmtId="0" fontId="3" fillId="14" borderId="51" xfId="0" applyFont="1" applyFill="1" applyBorder="1" applyAlignment="1">
      <alignment horizontal="center" vertical="center" wrapText="1"/>
    </xf>
    <xf numFmtId="0" fontId="3" fillId="14" borderId="52" xfId="0" applyFont="1" applyFill="1" applyBorder="1" applyAlignment="1">
      <alignment horizontal="center" vertical="center" wrapText="1"/>
    </xf>
    <xf numFmtId="0" fontId="3" fillId="14" borderId="29" xfId="0" applyFont="1" applyFill="1" applyBorder="1" applyAlignment="1">
      <alignment horizontal="center" vertical="center" wrapText="1"/>
    </xf>
    <xf numFmtId="0" fontId="14" fillId="4" borderId="48" xfId="0" applyFont="1" applyFill="1" applyBorder="1" applyAlignment="1">
      <alignment horizontal="left" vertical="center"/>
    </xf>
    <xf numFmtId="0" fontId="14" fillId="4" borderId="19" xfId="0" applyFont="1" applyFill="1" applyBorder="1" applyAlignment="1">
      <alignment horizontal="left" vertical="center"/>
    </xf>
    <xf numFmtId="0" fontId="14" fillId="4" borderId="28" xfId="0" applyFont="1" applyFill="1" applyBorder="1" applyAlignment="1">
      <alignment horizontal="left" vertical="center"/>
    </xf>
    <xf numFmtId="0" fontId="13" fillId="0" borderId="56" xfId="2" applyBorder="1" applyAlignment="1">
      <alignment vertical="center"/>
    </xf>
    <xf numFmtId="0" fontId="13" fillId="0" borderId="45" xfId="2" applyBorder="1" applyAlignment="1">
      <alignment vertical="center"/>
    </xf>
    <xf numFmtId="0" fontId="13" fillId="0" borderId="31" xfId="2" applyBorder="1" applyAlignment="1">
      <alignment vertical="center"/>
    </xf>
    <xf numFmtId="0" fontId="3" fillId="23" borderId="19" xfId="0" applyFont="1" applyFill="1" applyBorder="1" applyAlignment="1">
      <alignment horizontal="center" vertical="center"/>
    </xf>
    <xf numFmtId="0" fontId="3" fillId="23" borderId="28" xfId="0" applyFont="1" applyFill="1" applyBorder="1" applyAlignment="1">
      <alignment horizontal="center" vertical="center"/>
    </xf>
    <xf numFmtId="0" fontId="3" fillId="14" borderId="48" xfId="0" applyFont="1" applyFill="1" applyBorder="1" applyAlignment="1">
      <alignment horizontal="center" vertical="center" wrapText="1"/>
    </xf>
    <xf numFmtId="0" fontId="3" fillId="14" borderId="19" xfId="0" applyFont="1" applyFill="1" applyBorder="1" applyAlignment="1">
      <alignment horizontal="center" vertical="center" wrapText="1"/>
    </xf>
    <xf numFmtId="0" fontId="3" fillId="14" borderId="28"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0" fillId="0" borderId="53" xfId="0" applyBorder="1" applyAlignment="1">
      <alignment vertical="center"/>
    </xf>
    <xf numFmtId="0" fontId="0" fillId="0" borderId="71" xfId="0" applyBorder="1" applyAlignment="1">
      <alignment vertical="center"/>
    </xf>
    <xf numFmtId="0" fontId="0" fillId="0" borderId="69" xfId="0" applyBorder="1" applyAlignment="1">
      <alignment vertical="center"/>
    </xf>
    <xf numFmtId="44" fontId="3" fillId="2" borderId="48" xfId="0" applyNumberFormat="1" applyFont="1" applyFill="1" applyBorder="1" applyAlignment="1">
      <alignment horizontal="right" vertical="center"/>
    </xf>
    <xf numFmtId="44" fontId="3" fillId="2" borderId="28" xfId="0" applyNumberFormat="1" applyFont="1" applyFill="1" applyBorder="1" applyAlignment="1">
      <alignment horizontal="right" vertical="center"/>
    </xf>
    <xf numFmtId="0" fontId="3" fillId="2" borderId="4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73" fillId="0" borderId="49" xfId="2" applyFont="1" applyBorder="1" applyAlignment="1">
      <alignment vertical="center"/>
    </xf>
    <xf numFmtId="0" fontId="73" fillId="0" borderId="22" xfId="2" applyFont="1" applyBorder="1" applyAlignment="1">
      <alignment vertical="center"/>
    </xf>
    <xf numFmtId="0" fontId="73" fillId="0" borderId="50" xfId="2" applyFont="1" applyBorder="1" applyAlignment="1">
      <alignment vertical="center"/>
    </xf>
    <xf numFmtId="0" fontId="3" fillId="2" borderId="28" xfId="0" applyFont="1" applyFill="1" applyBorder="1" applyAlignment="1">
      <alignment horizontal="center" vertical="center"/>
    </xf>
    <xf numFmtId="176" fontId="3" fillId="3" borderId="48" xfId="0" quotePrefix="1" applyNumberFormat="1" applyFont="1" applyFill="1" applyBorder="1" applyAlignment="1">
      <alignment horizontal="right" vertical="top"/>
    </xf>
    <xf numFmtId="176" fontId="3" fillId="3" borderId="28" xfId="0" quotePrefix="1" applyNumberFormat="1" applyFont="1" applyFill="1" applyBorder="1" applyAlignment="1">
      <alignment horizontal="right" vertical="top"/>
    </xf>
    <xf numFmtId="44" fontId="3" fillId="2" borderId="23" xfId="0" applyNumberFormat="1" applyFont="1" applyFill="1" applyBorder="1" applyAlignment="1">
      <alignment horizontal="center" vertical="center" wrapText="1"/>
    </xf>
    <xf numFmtId="44" fontId="3" fillId="2" borderId="14" xfId="0" applyNumberFormat="1" applyFont="1" applyFill="1" applyBorder="1" applyAlignment="1">
      <alignment horizontal="center" vertical="center" wrapText="1"/>
    </xf>
    <xf numFmtId="44" fontId="3" fillId="2" borderId="24" xfId="0" applyNumberFormat="1" applyFont="1" applyFill="1" applyBorder="1" applyAlignment="1">
      <alignment horizontal="center" vertical="center" wrapText="1"/>
    </xf>
    <xf numFmtId="44" fontId="3" fillId="2" borderId="50" xfId="0" applyNumberFormat="1" applyFont="1" applyFill="1" applyBorder="1" applyAlignment="1">
      <alignment horizontal="right" vertical="center"/>
    </xf>
    <xf numFmtId="0" fontId="3" fillId="14" borderId="48" xfId="0" applyFont="1" applyFill="1" applyBorder="1" applyAlignment="1">
      <alignment horizontal="right" vertical="center"/>
    </xf>
    <xf numFmtId="0" fontId="0" fillId="0" borderId="19" xfId="0" applyBorder="1" applyAlignment="1">
      <alignment horizontal="right" vertical="center"/>
    </xf>
    <xf numFmtId="0" fontId="0" fillId="0" borderId="28" xfId="0" applyBorder="1" applyAlignment="1">
      <alignment horizontal="right" vertical="center"/>
    </xf>
    <xf numFmtId="44" fontId="3" fillId="3" borderId="48" xfId="0" applyNumberFormat="1" applyFont="1" applyFill="1" applyBorder="1" applyAlignment="1">
      <alignment horizontal="right" vertical="center"/>
    </xf>
    <xf numFmtId="44" fontId="3" fillId="3" borderId="28" xfId="0" applyNumberFormat="1" applyFont="1" applyFill="1" applyBorder="1" applyAlignment="1">
      <alignment horizontal="right" vertical="center"/>
    </xf>
    <xf numFmtId="0" fontId="3" fillId="2" borderId="4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9" fillId="0" borderId="48" xfId="0" applyFont="1" applyBorder="1" applyAlignment="1">
      <alignment horizontal="left" vertical="center"/>
    </xf>
    <xf numFmtId="0" fontId="0" fillId="0" borderId="0" xfId="0" applyAlignment="1">
      <alignment vertical="center" wrapText="1"/>
    </xf>
    <xf numFmtId="0" fontId="0" fillId="0" borderId="30" xfId="0" applyBorder="1" applyAlignment="1">
      <alignment vertical="center" wrapText="1"/>
    </xf>
    <xf numFmtId="0" fontId="11" fillId="3" borderId="40" xfId="0" applyFont="1" applyFill="1" applyBorder="1" applyAlignment="1">
      <alignment horizontal="right" vertical="center" wrapText="1"/>
    </xf>
    <xf numFmtId="0" fontId="11" fillId="3" borderId="19" xfId="0" applyFont="1" applyFill="1" applyBorder="1" applyAlignment="1">
      <alignment horizontal="right" vertical="center" wrapText="1"/>
    </xf>
    <xf numFmtId="0" fontId="11" fillId="3" borderId="70" xfId="0" applyFont="1" applyFill="1" applyBorder="1" applyAlignment="1">
      <alignment horizontal="right" vertical="center" wrapText="1"/>
    </xf>
    <xf numFmtId="0" fontId="9" fillId="22" borderId="54" xfId="0" applyFont="1" applyFill="1" applyBorder="1" applyAlignment="1">
      <alignment horizontal="left" vertical="center" wrapText="1"/>
    </xf>
    <xf numFmtId="0" fontId="9" fillId="22" borderId="46" xfId="0" applyFont="1" applyFill="1" applyBorder="1" applyAlignment="1">
      <alignment horizontal="left" vertical="center" wrapText="1"/>
    </xf>
    <xf numFmtId="0" fontId="9" fillId="22" borderId="58" xfId="0" applyFont="1" applyFill="1" applyBorder="1" applyAlignment="1">
      <alignment horizontal="left" vertical="center" wrapText="1"/>
    </xf>
    <xf numFmtId="0" fontId="9" fillId="22" borderId="57" xfId="0" applyFont="1" applyFill="1" applyBorder="1" applyAlignment="1">
      <alignment horizontal="left" vertical="center" wrapText="1"/>
    </xf>
    <xf numFmtId="0" fontId="9" fillId="22" borderId="47" xfId="0" applyFont="1" applyFill="1" applyBorder="1" applyAlignment="1">
      <alignment horizontal="left" vertical="center" wrapText="1"/>
    </xf>
    <xf numFmtId="0" fontId="9" fillId="22" borderId="32" xfId="0" applyFont="1" applyFill="1" applyBorder="1" applyAlignment="1">
      <alignment horizontal="left" vertical="center" wrapText="1"/>
    </xf>
    <xf numFmtId="0" fontId="25" fillId="13" borderId="48" xfId="0" applyFont="1" applyFill="1" applyBorder="1" applyAlignment="1">
      <alignment horizontal="left" vertical="center"/>
    </xf>
    <xf numFmtId="0" fontId="25" fillId="13" borderId="19" xfId="0" applyFont="1" applyFill="1" applyBorder="1" applyAlignment="1">
      <alignment horizontal="left" vertical="center"/>
    </xf>
    <xf numFmtId="0" fontId="25" fillId="13" borderId="28" xfId="0" applyFont="1" applyFill="1" applyBorder="1" applyAlignment="1">
      <alignment horizontal="left" vertical="center"/>
    </xf>
    <xf numFmtId="0" fontId="25" fillId="22" borderId="48" xfId="0" applyFont="1" applyFill="1" applyBorder="1" applyAlignment="1">
      <alignment horizontal="left" vertical="center"/>
    </xf>
    <xf numFmtId="0" fontId="25" fillId="22" borderId="19" xfId="0" applyFont="1" applyFill="1" applyBorder="1" applyAlignment="1">
      <alignment horizontal="left" vertical="center"/>
    </xf>
    <xf numFmtId="0" fontId="25" fillId="22" borderId="28" xfId="0" applyFont="1" applyFill="1" applyBorder="1" applyAlignment="1">
      <alignment horizontal="left" vertical="center"/>
    </xf>
    <xf numFmtId="0" fontId="9" fillId="4" borderId="48"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8" xfId="0" applyFont="1" applyFill="1" applyBorder="1" applyAlignment="1">
      <alignment horizontal="left" vertical="center" wrapText="1"/>
    </xf>
    <xf numFmtId="0" fontId="13" fillId="0" borderId="47" xfId="2" applyBorder="1" applyAlignment="1">
      <alignment horizontal="left" vertical="center"/>
    </xf>
    <xf numFmtId="0" fontId="13" fillId="0" borderId="32" xfId="2" applyBorder="1" applyAlignment="1">
      <alignment horizontal="left" vertical="center"/>
    </xf>
    <xf numFmtId="0" fontId="13" fillId="0" borderId="54" xfId="2" applyBorder="1" applyAlignment="1">
      <alignment vertical="center"/>
    </xf>
    <xf numFmtId="0" fontId="13" fillId="0" borderId="46" xfId="2" applyBorder="1" applyAlignment="1">
      <alignment vertical="center"/>
    </xf>
    <xf numFmtId="0" fontId="13" fillId="0" borderId="58" xfId="2" applyBorder="1" applyAlignment="1">
      <alignmen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3" borderId="51" xfId="0" applyFont="1" applyFill="1" applyBorder="1" applyAlignment="1">
      <alignment horizontal="right" vertical="center"/>
    </xf>
    <xf numFmtId="0" fontId="9" fillId="3" borderId="52" xfId="0" applyFont="1" applyFill="1" applyBorder="1" applyAlignment="1">
      <alignmen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0" fillId="2" borderId="40" xfId="0" applyFill="1" applyBorder="1" applyAlignment="1">
      <alignment vertical="center"/>
    </xf>
    <xf numFmtId="0" fontId="11" fillId="2" borderId="60"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left" vertical="center" wrapText="1"/>
    </xf>
    <xf numFmtId="0" fontId="11" fillId="2" borderId="33" xfId="0" applyFont="1" applyFill="1" applyBorder="1" applyAlignment="1">
      <alignment horizontal="center" vertical="center" wrapText="1"/>
    </xf>
    <xf numFmtId="0" fontId="9" fillId="0" borderId="3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21" xfId="0" applyFont="1" applyBorder="1" applyAlignment="1">
      <alignment horizontal="center" vertical="center" wrapText="1"/>
    </xf>
    <xf numFmtId="44" fontId="15" fillId="2" borderId="23" xfId="0" applyNumberFormat="1" applyFont="1" applyFill="1" applyBorder="1" applyAlignment="1">
      <alignment horizontal="center" vertical="center" wrapText="1"/>
    </xf>
    <xf numFmtId="44" fontId="15" fillId="2" borderId="14" xfId="0" applyNumberFormat="1" applyFont="1" applyFill="1" applyBorder="1" applyAlignment="1">
      <alignment horizontal="center" vertical="center" wrapText="1"/>
    </xf>
    <xf numFmtId="44" fontId="15" fillId="2" borderId="24" xfId="0" applyNumberFormat="1" applyFont="1" applyFill="1" applyBorder="1" applyAlignment="1">
      <alignment horizontal="center" vertical="center" wrapText="1"/>
    </xf>
    <xf numFmtId="0" fontId="49" fillId="0" borderId="57" xfId="0" applyFont="1" applyBorder="1" applyAlignment="1">
      <alignment horizontal="left" vertical="center"/>
    </xf>
    <xf numFmtId="0" fontId="49" fillId="0" borderId="47" xfId="0" applyFont="1" applyBorder="1" applyAlignment="1">
      <alignment horizontal="left" vertical="center"/>
    </xf>
    <xf numFmtId="0" fontId="49" fillId="0" borderId="32" xfId="0" applyFont="1" applyBorder="1" applyAlignment="1">
      <alignment horizontal="left" vertical="center"/>
    </xf>
    <xf numFmtId="0" fontId="11" fillId="3" borderId="48" xfId="1" applyFont="1" applyFill="1" applyBorder="1" applyAlignment="1">
      <alignment horizontal="right" vertical="center"/>
    </xf>
    <xf numFmtId="0" fontId="0" fillId="0" borderId="70" xfId="0" applyBorder="1" applyAlignment="1">
      <alignment horizontal="right" vertical="center"/>
    </xf>
    <xf numFmtId="0" fontId="11" fillId="2" borderId="48" xfId="1" applyFont="1" applyFill="1" applyBorder="1" applyAlignment="1">
      <alignment horizontal="right" vertical="top"/>
    </xf>
    <xf numFmtId="0" fontId="0" fillId="0" borderId="28" xfId="0" applyBorder="1" applyAlignment="1">
      <alignment horizontal="right" vertical="top"/>
    </xf>
    <xf numFmtId="0" fontId="3" fillId="2" borderId="23" xfId="0" applyFont="1" applyFill="1" applyBorder="1" applyAlignment="1">
      <alignment horizontal="center" wrapText="1"/>
    </xf>
    <xf numFmtId="0" fontId="3" fillId="2" borderId="14" xfId="0" applyFont="1" applyFill="1" applyBorder="1" applyAlignment="1">
      <alignment horizontal="center" wrapText="1"/>
    </xf>
    <xf numFmtId="0" fontId="3" fillId="2" borderId="24" xfId="0" applyFont="1" applyFill="1" applyBorder="1" applyAlignment="1">
      <alignment horizontal="center" wrapText="1"/>
    </xf>
    <xf numFmtId="0" fontId="3" fillId="19" borderId="49" xfId="0" applyFont="1" applyFill="1" applyBorder="1" applyAlignment="1">
      <alignment horizontal="center" vertical="center" wrapText="1"/>
    </xf>
    <xf numFmtId="0" fontId="0" fillId="19" borderId="44" xfId="0" applyFill="1" applyBorder="1" applyAlignment="1">
      <alignment horizontal="center" vertical="center" wrapText="1"/>
    </xf>
    <xf numFmtId="0" fontId="0" fillId="19" borderId="51" xfId="0" applyFill="1" applyBorder="1" applyAlignment="1">
      <alignment horizontal="center" vertical="center" wrapText="1"/>
    </xf>
    <xf numFmtId="0" fontId="10" fillId="5" borderId="60" xfId="0" applyFont="1" applyFill="1" applyBorder="1"/>
    <xf numFmtId="0" fontId="10" fillId="5" borderId="61" xfId="0" applyFont="1" applyFill="1" applyBorder="1"/>
    <xf numFmtId="0" fontId="10" fillId="5" borderId="4" xfId="0" applyFont="1" applyFill="1" applyBorder="1"/>
    <xf numFmtId="0" fontId="10" fillId="5" borderId="5" xfId="0" applyFont="1" applyFill="1" applyBorder="1"/>
    <xf numFmtId="0" fontId="9" fillId="0" borderId="48" xfId="1" applyFont="1" applyBorder="1" applyAlignment="1">
      <alignment horizontal="right" vertical="top"/>
    </xf>
    <xf numFmtId="0" fontId="0" fillId="0" borderId="70" xfId="0" applyBorder="1" applyAlignment="1">
      <alignment horizontal="right" vertical="top"/>
    </xf>
    <xf numFmtId="6" fontId="11" fillId="15" borderId="48" xfId="1" applyNumberFormat="1" applyFont="1" applyFill="1" applyBorder="1" applyAlignment="1">
      <alignment horizontal="right" vertical="top"/>
    </xf>
    <xf numFmtId="0" fontId="9" fillId="0" borderId="56" xfId="1" applyFont="1" applyBorder="1" applyAlignment="1">
      <alignment horizontal="right" vertical="top"/>
    </xf>
    <xf numFmtId="0" fontId="0" fillId="0" borderId="73" xfId="0" applyBorder="1" applyAlignment="1">
      <alignment horizontal="right" vertical="top"/>
    </xf>
    <xf numFmtId="0" fontId="9" fillId="0" borderId="54" xfId="1" applyFont="1" applyBorder="1" applyAlignment="1">
      <alignment horizontal="right" vertical="top"/>
    </xf>
    <xf numFmtId="0" fontId="0" fillId="0" borderId="7" xfId="0" applyBorder="1" applyAlignment="1">
      <alignment horizontal="right" vertical="top"/>
    </xf>
    <xf numFmtId="0" fontId="9" fillId="0" borderId="57" xfId="1" applyFont="1" applyBorder="1" applyAlignment="1">
      <alignment horizontal="right" vertical="top"/>
    </xf>
    <xf numFmtId="0" fontId="0" fillId="0" borderId="68" xfId="0" applyBorder="1" applyAlignment="1">
      <alignment horizontal="right" vertical="top"/>
    </xf>
    <xf numFmtId="0" fontId="3" fillId="2" borderId="19" xfId="0" applyFont="1" applyFill="1" applyBorder="1" applyAlignment="1">
      <alignment horizontal="right"/>
    </xf>
    <xf numFmtId="0" fontId="3" fillId="2" borderId="28" xfId="0" applyFont="1" applyFill="1" applyBorder="1" applyAlignment="1">
      <alignment horizontal="right"/>
    </xf>
    <xf numFmtId="0" fontId="0" fillId="0" borderId="56" xfId="0" applyBorder="1" applyAlignment="1">
      <alignment horizontal="center"/>
    </xf>
    <xf numFmtId="0" fontId="0" fillId="0" borderId="31" xfId="0" applyBorder="1" applyAlignment="1">
      <alignment horizontal="center"/>
    </xf>
    <xf numFmtId="0" fontId="0" fillId="0" borderId="54" xfId="0"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11" fillId="2" borderId="8" xfId="1" applyFont="1" applyFill="1" applyBorder="1" applyAlignment="1">
      <alignment horizontal="center" vertical="top" wrapText="1"/>
    </xf>
    <xf numFmtId="0" fontId="0" fillId="2" borderId="10" xfId="0" applyFill="1" applyBorder="1" applyAlignment="1">
      <alignment wrapText="1"/>
    </xf>
    <xf numFmtId="0" fontId="5" fillId="0" borderId="34" xfId="0" applyFont="1" applyBorder="1"/>
    <xf numFmtId="0" fontId="5" fillId="0" borderId="1" xfId="0" applyFont="1" applyBorder="1"/>
    <xf numFmtId="0" fontId="5" fillId="0" borderId="13" xfId="0" applyFont="1" applyBorder="1"/>
    <xf numFmtId="0" fontId="5" fillId="0" borderId="35" xfId="0" applyFont="1" applyBorder="1"/>
    <xf numFmtId="0" fontId="5" fillId="0" borderId="20" xfId="0" applyFont="1" applyBorder="1"/>
    <xf numFmtId="0" fontId="5" fillId="0" borderId="21" xfId="0" applyFont="1" applyBorder="1"/>
    <xf numFmtId="0" fontId="3" fillId="2" borderId="49" xfId="0" applyFont="1" applyFill="1" applyBorder="1"/>
    <xf numFmtId="0" fontId="3" fillId="2" borderId="22" xfId="0" applyFont="1" applyFill="1" applyBorder="1"/>
    <xf numFmtId="0" fontId="3" fillId="2" borderId="50" xfId="0" applyFont="1" applyFill="1" applyBorder="1"/>
    <xf numFmtId="0" fontId="5" fillId="0" borderId="33" xfId="0" applyFont="1" applyBorder="1"/>
    <xf numFmtId="0" fontId="5" fillId="0" borderId="11" xfId="0" applyFont="1" applyBorder="1"/>
    <xf numFmtId="0" fontId="5" fillId="0" borderId="12" xfId="0" applyFont="1" applyBorder="1"/>
    <xf numFmtId="0" fontId="3" fillId="7" borderId="48" xfId="0" applyFont="1" applyFill="1" applyBorder="1" applyAlignment="1">
      <alignment horizontal="center"/>
    </xf>
    <xf numFmtId="0" fontId="3" fillId="7" borderId="19" xfId="0" applyFont="1" applyFill="1" applyBorder="1" applyAlignment="1">
      <alignment horizontal="center"/>
    </xf>
    <xf numFmtId="0" fontId="3" fillId="7" borderId="28" xfId="0" applyFont="1" applyFill="1" applyBorder="1" applyAlignment="1">
      <alignment horizontal="center"/>
    </xf>
    <xf numFmtId="0" fontId="3" fillId="2" borderId="3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44" fontId="3" fillId="2" borderId="49" xfId="0" applyNumberFormat="1" applyFont="1" applyFill="1" applyBorder="1" applyAlignment="1">
      <alignment horizontal="center"/>
    </xf>
    <xf numFmtId="0" fontId="3" fillId="2" borderId="22" xfId="0" applyFont="1" applyFill="1" applyBorder="1" applyAlignment="1">
      <alignment horizontal="center"/>
    </xf>
    <xf numFmtId="0" fontId="0" fillId="0" borderId="22" xfId="0" applyBorder="1"/>
    <xf numFmtId="0" fontId="0" fillId="0" borderId="50" xfId="0" applyBorder="1"/>
    <xf numFmtId="0" fontId="3" fillId="2" borderId="31"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0" fillId="2" borderId="26" xfId="0" applyFill="1" applyBorder="1" applyAlignment="1">
      <alignment wrapText="1"/>
    </xf>
    <xf numFmtId="0" fontId="3" fillId="3" borderId="48" xfId="0" applyFont="1" applyFill="1" applyBorder="1"/>
    <xf numFmtId="0" fontId="0" fillId="0" borderId="14" xfId="0" applyBorder="1" applyAlignment="1">
      <alignment vertical="center" wrapText="1"/>
    </xf>
    <xf numFmtId="0" fontId="0" fillId="0" borderId="24" xfId="0" applyBorder="1" applyAlignment="1">
      <alignment vertical="center" wrapText="1"/>
    </xf>
    <xf numFmtId="0" fontId="0" fillId="0" borderId="48" xfId="0" applyBorder="1" applyAlignment="1">
      <alignment horizontal="center"/>
    </xf>
    <xf numFmtId="0" fontId="0" fillId="0" borderId="28" xfId="0" applyBorder="1" applyAlignment="1">
      <alignment horizontal="center"/>
    </xf>
    <xf numFmtId="0" fontId="11" fillId="2" borderId="8" xfId="0" applyFont="1" applyFill="1" applyBorder="1" applyAlignment="1">
      <alignment horizontal="center" wrapText="1"/>
    </xf>
    <xf numFmtId="0" fontId="9" fillId="2" borderId="9" xfId="0" applyFont="1" applyFill="1" applyBorder="1" applyAlignment="1">
      <alignment wrapText="1"/>
    </xf>
    <xf numFmtId="0" fontId="9" fillId="2" borderId="26" xfId="0" applyFont="1" applyFill="1" applyBorder="1" applyAlignment="1">
      <alignment wrapText="1"/>
    </xf>
    <xf numFmtId="0" fontId="3" fillId="2" borderId="49" xfId="0" applyFont="1" applyFill="1" applyBorder="1" applyAlignment="1">
      <alignment horizontal="center" vertical="center"/>
    </xf>
    <xf numFmtId="0" fontId="0" fillId="0" borderId="50" xfId="0" applyBorder="1" applyAlignment="1">
      <alignment horizontal="center" vertical="center"/>
    </xf>
    <xf numFmtId="0" fontId="3" fillId="2" borderId="49" xfId="0" applyFont="1" applyFill="1" applyBorder="1" applyAlignment="1">
      <alignment horizontal="center"/>
    </xf>
    <xf numFmtId="0" fontId="3" fillId="2" borderId="50" xfId="0" applyFont="1" applyFill="1" applyBorder="1" applyAlignment="1">
      <alignment horizontal="center"/>
    </xf>
    <xf numFmtId="49" fontId="3" fillId="2" borderId="23" xfId="0" applyNumberFormat="1" applyFont="1" applyFill="1" applyBorder="1" applyAlignment="1">
      <alignment horizontal="center" wrapText="1"/>
    </xf>
    <xf numFmtId="0" fontId="3" fillId="2" borderId="24" xfId="0" applyFont="1" applyFill="1" applyBorder="1" applyAlignment="1">
      <alignment horizontal="center"/>
    </xf>
    <xf numFmtId="0" fontId="0" fillId="0" borderId="34" xfId="0" applyBorder="1" applyAlignment="1">
      <alignment horizontal="center" vertical="center" wrapText="1"/>
    </xf>
    <xf numFmtId="0" fontId="0" fillId="0" borderId="64" xfId="0" applyBorder="1" applyAlignment="1">
      <alignment horizontal="center" vertical="center" wrapText="1"/>
    </xf>
    <xf numFmtId="0" fontId="3" fillId="2" borderId="12"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65" xfId="0" applyBorder="1" applyAlignment="1">
      <alignment horizontal="center" vertical="center" wrapText="1"/>
    </xf>
    <xf numFmtId="0" fontId="0" fillId="0" borderId="14" xfId="0" applyBorder="1" applyAlignment="1">
      <alignment horizontal="center" vertical="center" wrapText="1"/>
    </xf>
    <xf numFmtId="0" fontId="0" fillId="15" borderId="20" xfId="0" applyFill="1" applyBorder="1"/>
    <xf numFmtId="0" fontId="0" fillId="15" borderId="39" xfId="0" applyFill="1" applyBorder="1"/>
    <xf numFmtId="0" fontId="2" fillId="22" borderId="19" xfId="0" applyFont="1" applyFill="1" applyBorder="1"/>
    <xf numFmtId="0" fontId="3" fillId="22" borderId="6" xfId="0" applyFont="1" applyFill="1" applyBorder="1" applyAlignment="1">
      <alignment horizontal="right"/>
    </xf>
    <xf numFmtId="0" fontId="3" fillId="22" borderId="42" xfId="0" applyFont="1" applyFill="1" applyBorder="1" applyAlignment="1">
      <alignment horizontal="right"/>
    </xf>
    <xf numFmtId="0" fontId="0" fillId="15" borderId="17" xfId="0" applyFill="1" applyBorder="1"/>
    <xf numFmtId="0" fontId="0" fillId="15" borderId="41" xfId="0" applyFill="1" applyBorder="1"/>
    <xf numFmtId="0" fontId="0" fillId="15" borderId="32" xfId="0" applyFill="1" applyBorder="1"/>
    <xf numFmtId="0" fontId="0" fillId="15" borderId="58" xfId="0" applyFill="1" applyBorder="1"/>
    <xf numFmtId="0" fontId="0" fillId="15" borderId="45" xfId="0" applyFill="1" applyBorder="1"/>
    <xf numFmtId="0" fontId="0" fillId="15" borderId="31" xfId="0" applyFill="1" applyBorder="1"/>
    <xf numFmtId="0" fontId="0" fillId="22" borderId="38" xfId="0" quotePrefix="1" applyFill="1" applyBorder="1"/>
    <xf numFmtId="0" fontId="0" fillId="22" borderId="45" xfId="0" applyFill="1" applyBorder="1"/>
    <xf numFmtId="0" fontId="0" fillId="22" borderId="31" xfId="0" applyFill="1" applyBorder="1"/>
    <xf numFmtId="0" fontId="3" fillId="14" borderId="4" xfId="0" applyFont="1" applyFill="1" applyBorder="1" applyAlignment="1">
      <alignment horizontal="right"/>
    </xf>
    <xf numFmtId="0" fontId="3" fillId="14" borderId="40" xfId="0" applyFont="1" applyFill="1" applyBorder="1" applyAlignment="1">
      <alignment horizontal="right"/>
    </xf>
    <xf numFmtId="0" fontId="0" fillId="0" borderId="0" xfId="0"/>
    <xf numFmtId="0" fontId="27" fillId="2" borderId="61" xfId="0" applyFont="1" applyFill="1" applyBorder="1"/>
    <xf numFmtId="0" fontId="27" fillId="2" borderId="66" xfId="0" applyFont="1" applyFill="1" applyBorder="1"/>
    <xf numFmtId="0" fontId="3" fillId="3" borderId="4" xfId="0" applyFont="1" applyFill="1" applyBorder="1" applyAlignment="1">
      <alignment horizontal="right"/>
    </xf>
    <xf numFmtId="0" fontId="3" fillId="2" borderId="4" xfId="0" applyFont="1" applyFill="1" applyBorder="1"/>
    <xf numFmtId="0" fontId="3" fillId="2" borderId="40" xfId="0" applyFont="1" applyFill="1" applyBorder="1"/>
    <xf numFmtId="0" fontId="27" fillId="2" borderId="19" xfId="0" applyFont="1" applyFill="1" applyBorder="1"/>
    <xf numFmtId="42" fontId="0" fillId="15" borderId="11" xfId="0" applyNumberFormat="1" applyFill="1" applyBorder="1"/>
    <xf numFmtId="42" fontId="0" fillId="15" borderId="1" xfId="0" applyNumberFormat="1" applyFill="1" applyBorder="1"/>
    <xf numFmtId="0" fontId="3" fillId="14" borderId="59" xfId="0" applyFont="1" applyFill="1" applyBorder="1" applyAlignment="1">
      <alignment horizontal="right"/>
    </xf>
    <xf numFmtId="0" fontId="3" fillId="14" borderId="67" xfId="0" applyFont="1" applyFill="1" applyBorder="1" applyAlignment="1">
      <alignment horizontal="right"/>
    </xf>
    <xf numFmtId="42" fontId="0" fillId="15" borderId="36" xfId="0" applyNumberFormat="1" applyFill="1" applyBorder="1"/>
    <xf numFmtId="0" fontId="0" fillId="15" borderId="4" xfId="0" applyFill="1" applyBorder="1"/>
    <xf numFmtId="0" fontId="0" fillId="15" borderId="40" xfId="0" applyFill="1" applyBorder="1"/>
    <xf numFmtId="0" fontId="3" fillId="14" borderId="60" xfId="0" applyFont="1" applyFill="1" applyBorder="1"/>
    <xf numFmtId="0" fontId="3" fillId="14" borderId="61" xfId="0" applyFont="1" applyFill="1" applyBorder="1"/>
    <xf numFmtId="0" fontId="3" fillId="14" borderId="66" xfId="0" applyFont="1" applyFill="1" applyBorder="1"/>
    <xf numFmtId="0" fontId="41" fillId="3" borderId="36" xfId="0" applyFont="1" applyFill="1" applyBorder="1" applyAlignment="1">
      <alignment horizontal="right"/>
    </xf>
    <xf numFmtId="0" fontId="41" fillId="3" borderId="4" xfId="0" applyFont="1" applyFill="1" applyBorder="1" applyAlignment="1">
      <alignment horizontal="right"/>
    </xf>
    <xf numFmtId="0" fontId="41" fillId="3" borderId="40" xfId="0" applyFont="1" applyFill="1" applyBorder="1" applyAlignment="1">
      <alignment horizontal="right"/>
    </xf>
    <xf numFmtId="0" fontId="0" fillId="0" borderId="20" xfId="0" quotePrefix="1" applyBorder="1"/>
    <xf numFmtId="0" fontId="0" fillId="0" borderId="20" xfId="0" applyBorder="1"/>
    <xf numFmtId="0" fontId="0" fillId="0" borderId="39" xfId="0" applyBorder="1"/>
    <xf numFmtId="42" fontId="3" fillId="2" borderId="36" xfId="0" applyNumberFormat="1" applyFont="1" applyFill="1" applyBorder="1" applyAlignment="1">
      <alignment horizontal="center"/>
    </xf>
    <xf numFmtId="0" fontId="3" fillId="2" borderId="4" xfId="0" applyFont="1" applyFill="1" applyBorder="1" applyAlignment="1">
      <alignment horizontal="center"/>
    </xf>
    <xf numFmtId="0" fontId="3" fillId="2" borderId="40" xfId="0" applyFont="1" applyFill="1" applyBorder="1" applyAlignment="1">
      <alignment horizontal="center"/>
    </xf>
    <xf numFmtId="0" fontId="0" fillId="0" borderId="43" xfId="0" applyBorder="1" applyAlignment="1">
      <alignment horizontal="right"/>
    </xf>
    <xf numFmtId="0" fontId="0" fillId="0" borderId="17" xfId="0" applyBorder="1" applyAlignment="1">
      <alignment horizontal="right"/>
    </xf>
    <xf numFmtId="0" fontId="0" fillId="0" borderId="41" xfId="0" applyBorder="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42" xfId="0" applyBorder="1" applyAlignment="1">
      <alignment horizontal="right"/>
    </xf>
    <xf numFmtId="0" fontId="3" fillId="14" borderId="36" xfId="0" applyFont="1" applyFill="1" applyBorder="1" applyAlignment="1">
      <alignment horizontal="right"/>
    </xf>
    <xf numFmtId="0" fontId="3" fillId="3" borderId="36" xfId="0" applyFont="1" applyFill="1" applyBorder="1" applyAlignment="1">
      <alignment horizontal="left"/>
    </xf>
    <xf numFmtId="0" fontId="3" fillId="3" borderId="4" xfId="0" applyFont="1" applyFill="1" applyBorder="1" applyAlignment="1">
      <alignment horizontal="left"/>
    </xf>
    <xf numFmtId="0" fontId="3" fillId="3" borderId="40" xfId="0" applyFont="1" applyFill="1" applyBorder="1" applyAlignment="1">
      <alignment horizontal="left"/>
    </xf>
    <xf numFmtId="0" fontId="3" fillId="14" borderId="5" xfId="0" applyFont="1" applyFill="1" applyBorder="1" applyAlignment="1">
      <alignment horizontal="right"/>
    </xf>
    <xf numFmtId="0" fontId="27" fillId="2" borderId="4" xfId="0" applyFont="1" applyFill="1" applyBorder="1"/>
    <xf numFmtId="0" fontId="27" fillId="2" borderId="40" xfId="0" applyFont="1" applyFill="1" applyBorder="1"/>
    <xf numFmtId="42" fontId="0" fillId="15" borderId="6" xfId="0" applyNumberFormat="1" applyFill="1" applyBorder="1"/>
    <xf numFmtId="0" fontId="3" fillId="3" borderId="5" xfId="0" applyFont="1" applyFill="1" applyBorder="1" applyAlignment="1">
      <alignment horizontal="right"/>
    </xf>
    <xf numFmtId="42" fontId="8" fillId="15" borderId="1" xfId="0" applyNumberFormat="1" applyFont="1" applyFill="1" applyBorder="1"/>
    <xf numFmtId="0" fontId="8" fillId="15" borderId="1" xfId="0" applyFont="1" applyFill="1" applyBorder="1"/>
    <xf numFmtId="0" fontId="8" fillId="15" borderId="37" xfId="0" applyFont="1" applyFill="1" applyBorder="1"/>
    <xf numFmtId="42" fontId="8" fillId="15" borderId="6" xfId="0" applyNumberFormat="1" applyFont="1" applyFill="1" applyBorder="1"/>
    <xf numFmtId="0" fontId="8" fillId="15" borderId="6" xfId="0" applyFont="1" applyFill="1" applyBorder="1"/>
    <xf numFmtId="0" fontId="8" fillId="15" borderId="42" xfId="0" applyFont="1" applyFill="1" applyBorder="1"/>
    <xf numFmtId="42" fontId="0" fillId="15" borderId="17" xfId="0" applyNumberFormat="1" applyFill="1" applyBorder="1"/>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44" xfId="0" applyBorder="1" applyAlignment="1">
      <alignment horizontal="center" vertical="center" wrapText="1"/>
    </xf>
    <xf numFmtId="0" fontId="0" fillId="0" borderId="30" xfId="0" applyBorder="1" applyAlignment="1">
      <alignment horizontal="center" vertical="center" wrapText="1"/>
    </xf>
    <xf numFmtId="0" fontId="0" fillId="0" borderId="51" xfId="0" applyBorder="1" applyAlignment="1">
      <alignment horizontal="center" vertical="center" wrapText="1"/>
    </xf>
    <xf numFmtId="0" fontId="0" fillId="0" borderId="29" xfId="0" applyBorder="1" applyAlignment="1">
      <alignment horizontal="center" vertical="center" wrapText="1"/>
    </xf>
    <xf numFmtId="42" fontId="3" fillId="2" borderId="48" xfId="0" applyNumberFormat="1" applyFont="1" applyFill="1" applyBorder="1" applyAlignment="1">
      <alignment horizontal="center"/>
    </xf>
    <xf numFmtId="42" fontId="0" fillId="0" borderId="28" xfId="0" applyNumberFormat="1" applyBorder="1" applyAlignment="1">
      <alignment horizontal="center"/>
    </xf>
    <xf numFmtId="42" fontId="3" fillId="2" borderId="49" xfId="0" applyNumberFormat="1" applyFont="1" applyFill="1" applyBorder="1" applyAlignment="1">
      <alignment horizontal="center"/>
    </xf>
    <xf numFmtId="42" fontId="0" fillId="0" borderId="77" xfId="0" applyNumberFormat="1" applyBorder="1" applyAlignment="1">
      <alignment horizontal="center"/>
    </xf>
    <xf numFmtId="42" fontId="41" fillId="15" borderId="48" xfId="0" applyNumberFormat="1" applyFont="1" applyFill="1" applyBorder="1" applyAlignment="1">
      <alignment horizontal="left"/>
    </xf>
    <xf numFmtId="42" fontId="41" fillId="15" borderId="28" xfId="0" applyNumberFormat="1" applyFont="1" applyFill="1" applyBorder="1" applyAlignment="1">
      <alignment horizontal="left"/>
    </xf>
    <xf numFmtId="42" fontId="3" fillId="2" borderId="22" xfId="0" applyNumberFormat="1" applyFont="1" applyFill="1" applyBorder="1" applyAlignment="1">
      <alignment horizontal="center"/>
    </xf>
    <xf numFmtId="42" fontId="0" fillId="0" borderId="50" xfId="0" applyNumberFormat="1" applyBorder="1" applyAlignment="1">
      <alignment horizontal="center"/>
    </xf>
    <xf numFmtId="0" fontId="0" fillId="0" borderId="22" xfId="0" applyBorder="1" applyAlignment="1">
      <alignment wrapText="1"/>
    </xf>
    <xf numFmtId="0" fontId="0" fillId="0" borderId="50" xfId="0" applyBorder="1" applyAlignment="1">
      <alignment wrapText="1"/>
    </xf>
    <xf numFmtId="0" fontId="0" fillId="0" borderId="44" xfId="0" applyBorder="1" applyAlignment="1">
      <alignment wrapText="1"/>
    </xf>
    <xf numFmtId="0" fontId="0" fillId="0" borderId="0" xfId="0" applyAlignment="1">
      <alignment wrapText="1"/>
    </xf>
    <xf numFmtId="0" fontId="0" fillId="0" borderId="30" xfId="0" applyBorder="1" applyAlignment="1">
      <alignment wrapText="1"/>
    </xf>
    <xf numFmtId="0" fontId="0" fillId="0" borderId="51" xfId="0" applyBorder="1" applyAlignment="1">
      <alignment wrapText="1"/>
    </xf>
    <xf numFmtId="0" fontId="0" fillId="0" borderId="52" xfId="0" applyBorder="1" applyAlignment="1">
      <alignment wrapText="1"/>
    </xf>
    <xf numFmtId="0" fontId="0" fillId="0" borderId="29" xfId="0" applyBorder="1" applyAlignment="1">
      <alignment wrapText="1"/>
    </xf>
    <xf numFmtId="0" fontId="3" fillId="0" borderId="48" xfId="0" applyFont="1" applyBorder="1"/>
  </cellXfs>
  <cellStyles count="3">
    <cellStyle name="Hyperlink" xfId="2" builtinId="8"/>
    <cellStyle name="Normal 2" xfId="1" xr:uid="{00000000-0005-0000-0000-000001000000}"/>
    <cellStyle name="Standaard" xfId="0" builtinId="0"/>
  </cellStyles>
  <dxfs count="141">
    <dxf>
      <fill>
        <patternFill>
          <bgColor theme="5" tint="0.39994506668294322"/>
        </patternFill>
      </fill>
    </dxf>
    <dxf>
      <fill>
        <patternFill>
          <bgColor theme="7" tint="0.59996337778862885"/>
        </patternFill>
      </fill>
    </dxf>
    <dxf>
      <fill>
        <patternFill>
          <bgColor theme="6" tint="0.59996337778862885"/>
        </patternFill>
      </fill>
    </dxf>
    <dxf>
      <fill>
        <patternFill>
          <bgColor theme="4" tint="0.79998168889431442"/>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patternType="gray0625">
          <bgColor rgb="FFFFC000"/>
        </patternFill>
      </fill>
    </dxf>
    <dxf>
      <fill>
        <patternFill>
          <bgColor rgb="FFFFC000"/>
        </patternFill>
      </fill>
    </dxf>
    <dxf>
      <fill>
        <patternFill>
          <bgColor rgb="FFFF000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s>
  <tableStyles count="0" defaultTableStyle="TableStyleMedium2" defaultPivotStyle="PivotStyleLight16"/>
  <colors>
    <mruColors>
      <color rgb="FFFFFF66"/>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346364</xdr:colOff>
      <xdr:row>64</xdr:row>
      <xdr:rowOff>21774</xdr:rowOff>
    </xdr:from>
    <xdr:to>
      <xdr:col>24</xdr:col>
      <xdr:colOff>35718</xdr:colOff>
      <xdr:row>92</xdr:row>
      <xdr:rowOff>59531</xdr:rowOff>
    </xdr:to>
    <xdr:sp macro="" textlink="">
      <xdr:nvSpPr>
        <xdr:cNvPr id="3" name="Rechthoek 2">
          <a:extLst>
            <a:ext uri="{FF2B5EF4-FFF2-40B4-BE49-F238E27FC236}">
              <a16:creationId xmlns:a16="http://schemas.microsoft.com/office/drawing/2014/main" id="{CDD06F7A-9693-4D8A-9503-33C10BD33A03}"/>
            </a:ext>
          </a:extLst>
        </xdr:cNvPr>
        <xdr:cNvSpPr/>
      </xdr:nvSpPr>
      <xdr:spPr>
        <a:xfrm>
          <a:off x="14729114" y="12535243"/>
          <a:ext cx="18977479" cy="5490819"/>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366156</xdr:colOff>
      <xdr:row>111</xdr:row>
      <xdr:rowOff>152400</xdr:rowOff>
    </xdr:from>
    <xdr:to>
      <xdr:col>23</xdr:col>
      <xdr:colOff>0</xdr:colOff>
      <xdr:row>130</xdr:row>
      <xdr:rowOff>76200</xdr:rowOff>
    </xdr:to>
    <xdr:sp macro="" textlink="">
      <xdr:nvSpPr>
        <xdr:cNvPr id="4" name="Rechthoek 3">
          <a:extLst>
            <a:ext uri="{FF2B5EF4-FFF2-40B4-BE49-F238E27FC236}">
              <a16:creationId xmlns:a16="http://schemas.microsoft.com/office/drawing/2014/main" id="{3F6E5939-BA85-429A-B63E-60E359292F70}"/>
            </a:ext>
          </a:extLst>
        </xdr:cNvPr>
        <xdr:cNvSpPr/>
      </xdr:nvSpPr>
      <xdr:spPr>
        <a:xfrm>
          <a:off x="12944104" y="20577958"/>
          <a:ext cx="16447325" cy="3446813"/>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359228</xdr:colOff>
      <xdr:row>92</xdr:row>
      <xdr:rowOff>142876</xdr:rowOff>
    </xdr:from>
    <xdr:to>
      <xdr:col>26</xdr:col>
      <xdr:colOff>107156</xdr:colOff>
      <xdr:row>111</xdr:row>
      <xdr:rowOff>62254</xdr:rowOff>
    </xdr:to>
    <xdr:sp macro="" textlink="">
      <xdr:nvSpPr>
        <xdr:cNvPr id="5" name="Rechthoek 4">
          <a:extLst>
            <a:ext uri="{FF2B5EF4-FFF2-40B4-BE49-F238E27FC236}">
              <a16:creationId xmlns:a16="http://schemas.microsoft.com/office/drawing/2014/main" id="{44B92F3A-0420-43B2-8CD8-3AF6F6E5BD45}"/>
            </a:ext>
          </a:extLst>
        </xdr:cNvPr>
        <xdr:cNvSpPr/>
      </xdr:nvSpPr>
      <xdr:spPr>
        <a:xfrm>
          <a:off x="14741978" y="18109407"/>
          <a:ext cx="21798303" cy="372937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238125</xdr:colOff>
      <xdr:row>164</xdr:row>
      <xdr:rowOff>95250</xdr:rowOff>
    </xdr:from>
    <xdr:to>
      <xdr:col>10</xdr:col>
      <xdr:colOff>214312</xdr:colOff>
      <xdr:row>164</xdr:row>
      <xdr:rowOff>107156</xdr:rowOff>
    </xdr:to>
    <xdr:cxnSp macro="">
      <xdr:nvCxnSpPr>
        <xdr:cNvPr id="6" name="Rechte verbindingslijn met pijl 5">
          <a:extLst>
            <a:ext uri="{FF2B5EF4-FFF2-40B4-BE49-F238E27FC236}">
              <a16:creationId xmlns:a16="http://schemas.microsoft.com/office/drawing/2014/main" id="{6A04EEF7-E9F9-D933-B0B2-3577010155DE}"/>
            </a:ext>
          </a:extLst>
        </xdr:cNvPr>
        <xdr:cNvCxnSpPr/>
      </xdr:nvCxnSpPr>
      <xdr:spPr>
        <a:xfrm>
          <a:off x="8655844" y="32515969"/>
          <a:ext cx="5941218" cy="11906"/>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715962</xdr:colOff>
      <xdr:row>41</xdr:row>
      <xdr:rowOff>52388</xdr:rowOff>
    </xdr:from>
    <xdr:to>
      <xdr:col>6</xdr:col>
      <xdr:colOff>720497</xdr:colOff>
      <xdr:row>43</xdr:row>
      <xdr:rowOff>184944</xdr:rowOff>
    </xdr:to>
    <xdr:cxnSp macro="">
      <xdr:nvCxnSpPr>
        <xdr:cNvPr id="3" name="Rechte verbindingslijn met pijl 2">
          <a:extLst>
            <a:ext uri="{FF2B5EF4-FFF2-40B4-BE49-F238E27FC236}">
              <a16:creationId xmlns:a16="http://schemas.microsoft.com/office/drawing/2014/main" id="{272C20CF-EBDF-42D0-9D9A-B92AB0FBBD22}"/>
            </a:ext>
          </a:extLst>
        </xdr:cNvPr>
        <xdr:cNvCxnSpPr/>
      </xdr:nvCxnSpPr>
      <xdr:spPr>
        <a:xfrm flipH="1">
          <a:off x="7157243" y="11256169"/>
          <a:ext cx="4535" cy="537369"/>
        </a:xfrm>
        <a:prstGeom prst="straightConnector1">
          <a:avLst/>
        </a:prstGeom>
        <a:ln w="57150">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32657</xdr:colOff>
      <xdr:row>23</xdr:row>
      <xdr:rowOff>107156</xdr:rowOff>
    </xdr:from>
    <xdr:to>
      <xdr:col>11</xdr:col>
      <xdr:colOff>821531</xdr:colOff>
      <xdr:row>30</xdr:row>
      <xdr:rowOff>111579</xdr:rowOff>
    </xdr:to>
    <xdr:cxnSp macro="">
      <xdr:nvCxnSpPr>
        <xdr:cNvPr id="4" name="Rechte verbindingslijn met pijl 3">
          <a:extLst>
            <a:ext uri="{FF2B5EF4-FFF2-40B4-BE49-F238E27FC236}">
              <a16:creationId xmlns:a16="http://schemas.microsoft.com/office/drawing/2014/main" id="{9DA8E12E-AC12-47C8-9138-34B4F31C95B9}"/>
            </a:ext>
          </a:extLst>
        </xdr:cNvPr>
        <xdr:cNvCxnSpPr/>
      </xdr:nvCxnSpPr>
      <xdr:spPr>
        <a:xfrm flipH="1">
          <a:off x="16701407" y="4488656"/>
          <a:ext cx="1979499" cy="1445079"/>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107156</xdr:colOff>
      <xdr:row>31</xdr:row>
      <xdr:rowOff>119062</xdr:rowOff>
    </xdr:from>
    <xdr:to>
      <xdr:col>6</xdr:col>
      <xdr:colOff>1143000</xdr:colOff>
      <xdr:row>39</xdr:row>
      <xdr:rowOff>83343</xdr:rowOff>
    </xdr:to>
    <xdr:cxnSp macro="">
      <xdr:nvCxnSpPr>
        <xdr:cNvPr id="3" name="Rechte verbindingslijn met pijl 2">
          <a:extLst>
            <a:ext uri="{FF2B5EF4-FFF2-40B4-BE49-F238E27FC236}">
              <a16:creationId xmlns:a16="http://schemas.microsoft.com/office/drawing/2014/main" id="{96563313-6C6B-47C8-A59D-F09D6BA0F35D}"/>
            </a:ext>
          </a:extLst>
        </xdr:cNvPr>
        <xdr:cNvCxnSpPr/>
      </xdr:nvCxnSpPr>
      <xdr:spPr>
        <a:xfrm flipH="1">
          <a:off x="10596562" y="6215062"/>
          <a:ext cx="1035844" cy="1571625"/>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2226468</xdr:colOff>
      <xdr:row>22</xdr:row>
      <xdr:rowOff>214312</xdr:rowOff>
    </xdr:from>
    <xdr:to>
      <xdr:col>3</xdr:col>
      <xdr:colOff>178594</xdr:colOff>
      <xdr:row>31</xdr:row>
      <xdr:rowOff>59531</xdr:rowOff>
    </xdr:to>
    <xdr:cxnSp macro="">
      <xdr:nvCxnSpPr>
        <xdr:cNvPr id="2" name="Rechte verbindingslijn met pijl 1">
          <a:extLst>
            <a:ext uri="{FF2B5EF4-FFF2-40B4-BE49-F238E27FC236}">
              <a16:creationId xmlns:a16="http://schemas.microsoft.com/office/drawing/2014/main" id="{A87FB8D6-3DF5-472F-9A9D-D85EDE84A0C8}"/>
            </a:ext>
          </a:extLst>
        </xdr:cNvPr>
        <xdr:cNvCxnSpPr/>
      </xdr:nvCxnSpPr>
      <xdr:spPr>
        <a:xfrm>
          <a:off x="2833687" y="4310062"/>
          <a:ext cx="3726657" cy="2012157"/>
        </a:xfrm>
        <a:prstGeom prst="straightConnector1">
          <a:avLst/>
        </a:prstGeom>
        <a:ln w="38100">
          <a:solidFill>
            <a:srgbClr val="FF0000"/>
          </a:solidFill>
          <a:headEnd type="stealth"/>
          <a:tailEnd type="stealth"/>
        </a:ln>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8a0e41b63ed7fe2b/Documents/Alimentatie-Scheiding-Website/Alimentatie/2024-1e-halfjaar/Bruto-alimentatie-berekening_2024-01_v1.0.xlsx" TargetMode="External"/><Relationship Id="rId1" Type="http://schemas.openxmlformats.org/officeDocument/2006/relationships/externalLinkPath" Target="/8a0e41b63ed7fe2b/Documents/Alimentatie-Scheiding-Website/Alimentatie/2024-1e-halfjaar/Bruto-alimentatie-berekening_2024-01_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Handleiding"/>
      <sheetName val="Alimentatie 2023-01"/>
      <sheetName val="Basisgegevens"/>
      <sheetName val="Kinderalimentatie"/>
      <sheetName val="Behoefteberekening"/>
      <sheetName val="Jusvergelijking"/>
      <sheetName val="Woonlasten_afwijkend"/>
      <sheetName val="Wijzigingen &amp; To Do's"/>
      <sheetName val="Keuzelijsten"/>
    </sheetNames>
    <sheetDataSet>
      <sheetData sheetId="0"/>
      <sheetData sheetId="1"/>
      <sheetData sheetId="2"/>
      <sheetData sheetId="3">
        <row r="280">
          <cell r="E280">
            <v>0</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belastingdienst.nl/wps/wcm/connect/bldcontentnl/belastingdienst/prive/vermogen_en_aanmerkelijk_belang/vermogen/belasting_betalen_over_uw_vermogen/heffingsvrij_vermogen/heffingsvrij_vermogen" TargetMode="External"/><Relationship Id="rId13" Type="http://schemas.openxmlformats.org/officeDocument/2006/relationships/hyperlink" Target="https://www.zorgwijzer.nl/faq/wat-is-de-inkomensafhankelijke-bijdrage" TargetMode="External"/><Relationship Id="rId18" Type="http://schemas.openxmlformats.org/officeDocument/2006/relationships/hyperlink" Target="https://www.rijksoverheid.nl/onderwerpen/hoger-onderwijs/vraag-en-antwoord/wanneer-moet-ik-collegegeld-betalen" TargetMode="External"/><Relationship Id="rId26" Type="http://schemas.openxmlformats.org/officeDocument/2006/relationships/drawing" Target="../drawings/drawing1.xml"/><Relationship Id="rId3"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21" Type="http://schemas.openxmlformats.org/officeDocument/2006/relationships/hyperlink" Target="https://www.belastingdienst.nl/wps/wcm/connect/bldcontentnl/belastingdienst/prive/inkomstenbelasting/heffingskortingen_boxen_tarieven/heffingskortingen/arbeidskorting/" TargetMode="External"/><Relationship Id="rId7"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2" Type="http://schemas.openxmlformats.org/officeDocument/2006/relationships/hyperlink" Target="https://www.belastingdienst.nl/rekenhulpen/toeslagen/" TargetMode="External"/><Relationship Id="rId17" Type="http://schemas.openxmlformats.org/officeDocument/2006/relationships/hyperlink" Target="https://www.rijksoverheid.nl/onderwerpen/achttien-jaar-worden/vraag-en-antwoord/wanneer-moet-ik-lesgeld-betalen" TargetMode="External"/><Relationship Id="rId25" Type="http://schemas.openxmlformats.org/officeDocument/2006/relationships/printerSettings" Target="../printerSettings/printerSettings4.bin"/><Relationship Id="rId2"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16" Type="http://schemas.openxmlformats.org/officeDocument/2006/relationships/hyperlink" Target="https://www.belastingdienst.nl/rekenhulpen/toeslagen/" TargetMode="External"/><Relationship Id="rId20" Type="http://schemas.openxmlformats.org/officeDocument/2006/relationships/hyperlink" Target="https://www.belastingdienst.nl/wps/wcm/connect/bldcontentnl/belastingdienst/prive/inkomstenbelasting/heffingskortingen_boxen_tarieven/heffingskortingen/algemene_heffingskorting/tabel-algemene-heffingskorting-2023" TargetMode="External"/><Relationship Id="rId1"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6" Type="http://schemas.openxmlformats.org/officeDocument/2006/relationships/hyperlink" Target="https://www.belastingdienst.nl/wps/wcm/connect/nl/koopwoning/content/hoe-werkt-eigenwoningforfait" TargetMode="External"/><Relationship Id="rId11" Type="http://schemas.openxmlformats.org/officeDocument/2006/relationships/hyperlink" Target="https://www.belastingdienst.nl/wps/wcm/connect/bldcontentnl/belastingdienst/prive/vermogen_en_aanmerkelijk_belang/vermogen/wat_zijn_uw_bezittingen_en_schulden/uw_schulden/drempel" TargetMode="External"/><Relationship Id="rId24" Type="http://schemas.openxmlformats.org/officeDocument/2006/relationships/hyperlink" Target="https://www.belastingdienst.nl/wps/wcm/connect/bldcontentnl/belastingdienst/prive/relatie_familie_en_gezondheid/gezondheid/aftrek_zorgkosten/voorwaarden_aftrek_zorgkosten" TargetMode="External"/><Relationship Id="rId5"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5" Type="http://schemas.openxmlformats.org/officeDocument/2006/relationships/hyperlink" Target="https://www.belastingdienst.nl/rekenhulpen/toeslagen/" TargetMode="External"/><Relationship Id="rId23" Type="http://schemas.openxmlformats.org/officeDocument/2006/relationships/hyperlink" Target="https://www.svb.nl/nl/aow/aow-leeftijd/uw-aow-leeftijd" TargetMode="External"/><Relationship Id="rId28" Type="http://schemas.openxmlformats.org/officeDocument/2006/relationships/comments" Target="../comments1.xml"/><Relationship Id="rId10" Type="http://schemas.openxmlformats.org/officeDocument/2006/relationships/hyperlink" Target="https://www.rijksoverheid.nl/onderwerpen/zorgverzekering/vraag-en-antwoord/eigen-risico-zorgverzekering" TargetMode="External"/><Relationship Id="rId19" Type="http://schemas.openxmlformats.org/officeDocument/2006/relationships/hyperlink" Target="https://www.belastingdienst.nl/wps/wcm/connect/nl/aftrek-en-kortingen/content/afbouw-tarief-aftrekposten-bij-hoog-inkomen" TargetMode="External"/><Relationship Id="rId4"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9" Type="http://schemas.openxmlformats.org/officeDocument/2006/relationships/hyperlink" Target="https://www.socialedienstdrechtsteden.nl/bijstand/ik-heb-een-uitkering/hoe-hoog-is-een-bijstandsuitkering" TargetMode="External"/><Relationship Id="rId14" Type="http://schemas.openxmlformats.org/officeDocument/2006/relationships/hyperlink" Target="https://www.belastingdienst.nl/rekenhulpen/toeslagen/" TargetMode="External"/><Relationship Id="rId22" Type="http://schemas.openxmlformats.org/officeDocument/2006/relationships/hyperlink" Target="https://www.belastingdienst.nl/wps/wcm/connect/bldcontentnl/belastingdienst/prive/inkomstenbelasting/heffingskortingen_boxen_tarieven/heffingskortingen/arbeidskorting/" TargetMode="External"/><Relationship Id="rId27"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M42"/>
  <sheetViews>
    <sheetView showGridLines="0" zoomScale="80" zoomScaleNormal="80" workbookViewId="0">
      <pane ySplit="4" topLeftCell="A5" activePane="bottomLeft" state="frozen"/>
      <selection pane="bottomLeft"/>
    </sheetView>
  </sheetViews>
  <sheetFormatPr defaultRowHeight="15" x14ac:dyDescent="0.25"/>
  <cols>
    <col min="1" max="1" width="5.7109375" style="247" customWidth="1"/>
    <col min="2" max="2" width="23.7109375" customWidth="1"/>
    <col min="3" max="3" width="25.7109375" style="247" customWidth="1"/>
    <col min="4" max="4" width="20.7109375" customWidth="1"/>
    <col min="5" max="8" width="16.28515625" style="247" customWidth="1"/>
    <col min="9" max="9" width="18.7109375" customWidth="1"/>
    <col min="10" max="10" width="5.7109375" customWidth="1"/>
    <col min="11" max="11" width="25.7109375" customWidth="1"/>
    <col min="12" max="12" width="15.7109375" customWidth="1"/>
    <col min="13" max="13" width="25.7109375" customWidth="1"/>
  </cols>
  <sheetData>
    <row r="1" spans="1:12" ht="21.75" thickBot="1" x14ac:dyDescent="0.4">
      <c r="A1" s="292"/>
      <c r="B1" s="2306" t="s">
        <v>337</v>
      </c>
      <c r="C1" s="2317"/>
      <c r="D1" s="2317"/>
      <c r="E1" s="2317"/>
      <c r="F1" s="2317"/>
      <c r="G1" s="2317"/>
      <c r="H1" s="2318"/>
    </row>
    <row r="2" spans="1:12" ht="15.75" thickBot="1" x14ac:dyDescent="0.3"/>
    <row r="3" spans="1:12" ht="16.5" thickBot="1" x14ac:dyDescent="0.3">
      <c r="B3" s="2582" t="s">
        <v>351</v>
      </c>
      <c r="C3" s="2583"/>
      <c r="D3" s="853">
        <f>Basisgegevens!C16</f>
        <v>45108</v>
      </c>
      <c r="F3" s="476" t="s">
        <v>470</v>
      </c>
      <c r="G3" s="2584" t="str">
        <f>Basisgegevens!C22</f>
        <v>2023 - 2e halfjaar</v>
      </c>
      <c r="H3" s="2585"/>
    </row>
    <row r="4" spans="1:12" ht="15.75" thickBot="1" x14ac:dyDescent="0.3"/>
    <row r="5" spans="1:12" ht="19.5" thickBot="1" x14ac:dyDescent="0.35">
      <c r="B5" s="2590" t="str">
        <f>CONCATENATE(E14," is aan partneralimentatie verschuldigd")</f>
        <v>AP is aan partneralimentatie verschuldigd</v>
      </c>
      <c r="C5" s="2591"/>
      <c r="D5" s="2591"/>
      <c r="E5" s="544" t="s">
        <v>55</v>
      </c>
      <c r="F5" s="545" t="s">
        <v>503</v>
      </c>
      <c r="H5" s="477"/>
    </row>
    <row r="6" spans="1:12" ht="18.75" x14ac:dyDescent="0.3">
      <c r="B6" s="2588" t="s">
        <v>504</v>
      </c>
      <c r="C6" s="2589"/>
      <c r="D6" s="2589"/>
      <c r="E6" s="546">
        <f ca="1">'Alimentatie 2023-02'!D$303</f>
        <v>0</v>
      </c>
      <c r="F6" s="547">
        <f ca="1">IF('Alimentatie 2023-02'!D$304&lt;0,0,'Alimentatie 2023-02'!D$304)</f>
        <v>0</v>
      </c>
    </row>
    <row r="7" spans="1:12" ht="19.5" thickBot="1" x14ac:dyDescent="0.35">
      <c r="B7" s="2592" t="s">
        <v>505</v>
      </c>
      <c r="C7" s="2593"/>
      <c r="D7" s="2593"/>
      <c r="E7" s="543">
        <f ca="1">Behoefteberekening!E$70</f>
        <v>302.95780000000002</v>
      </c>
      <c r="F7" s="548">
        <f ca="1">IF(Behoefteberekening!$F$70&lt;0,0,Behoefteberekening!$F$70)</f>
        <v>3635.4936000000002</v>
      </c>
    </row>
    <row r="8" spans="1:12" ht="19.5" thickBot="1" x14ac:dyDescent="0.35">
      <c r="B8" s="2594" t="s">
        <v>506</v>
      </c>
      <c r="C8" s="2595"/>
      <c r="D8" s="2595"/>
      <c r="E8" s="829">
        <f ca="1">F8/12</f>
        <v>0</v>
      </c>
      <c r="F8" s="830">
        <f ca="1">Jusvergelijking!D107</f>
        <v>0</v>
      </c>
      <c r="G8" s="2563" t="str">
        <f ca="1">IF(OR(Jusvergelijking!$K$33&lt;-0.5,Jusvergelijking!$K$33&gt;0.5),"LET OP: Jusvergelijking (cel H12) klopt niet !!!","Jusvergelijking is Oke!")</f>
        <v>Jusvergelijking is Oke!</v>
      </c>
      <c r="H8" s="2561"/>
      <c r="I8" s="2562"/>
    </row>
    <row r="9" spans="1:12" ht="4.9000000000000004" customHeight="1" thickBot="1" x14ac:dyDescent="0.3">
      <c r="A9"/>
      <c r="C9"/>
      <c r="E9"/>
      <c r="F9"/>
      <c r="G9" s="585"/>
      <c r="H9"/>
    </row>
    <row r="10" spans="1:12" ht="19.5" thickBot="1" x14ac:dyDescent="0.35">
      <c r="B10" s="2586" t="s">
        <v>602</v>
      </c>
      <c r="C10" s="2587"/>
      <c r="D10" s="2587"/>
      <c r="E10" s="835">
        <f ca="1">(MIN(E6:E8))</f>
        <v>0</v>
      </c>
      <c r="F10" s="836">
        <f ca="1">(MIN(F6:F8))</f>
        <v>0</v>
      </c>
      <c r="G10" s="2560" t="s">
        <v>913</v>
      </c>
      <c r="H10" s="2561"/>
      <c r="I10" s="2562"/>
    </row>
    <row r="11" spans="1:12" ht="19.5" thickBot="1" x14ac:dyDescent="0.35">
      <c r="B11" s="2586" t="s">
        <v>604</v>
      </c>
      <c r="C11" s="2587"/>
      <c r="D11" s="2587"/>
      <c r="E11" s="835">
        <f>E15</f>
        <v>0</v>
      </c>
      <c r="F11" s="836">
        <f>E11*12</f>
        <v>0</v>
      </c>
      <c r="G11" s="828"/>
      <c r="H11" s="585"/>
    </row>
    <row r="12" spans="1:12" ht="19.5" thickBot="1" x14ac:dyDescent="0.35">
      <c r="B12" s="2596" t="s">
        <v>603</v>
      </c>
      <c r="C12" s="2597"/>
      <c r="D12" s="2597"/>
      <c r="E12" s="586">
        <f ca="1">SUM(E10:E11)</f>
        <v>0</v>
      </c>
      <c r="F12" s="1606">
        <f ca="1">SUM(F10:F11)</f>
        <v>0</v>
      </c>
      <c r="G12" s="828"/>
      <c r="H12" s="585"/>
    </row>
    <row r="13" spans="1:12" ht="15.75" thickBot="1" x14ac:dyDescent="0.3"/>
    <row r="14" spans="1:12" ht="15.75" thickBot="1" x14ac:dyDescent="0.3">
      <c r="A14" s="277" t="s">
        <v>249</v>
      </c>
      <c r="B14" s="2558" t="s">
        <v>4</v>
      </c>
      <c r="C14" s="2559"/>
      <c r="D14" s="2559"/>
      <c r="E14" s="490" t="str">
        <f>BGPartnerAP</f>
        <v>AP</v>
      </c>
      <c r="F14" s="490" t="str">
        <f>BGPartnerAG</f>
        <v>AG</v>
      </c>
      <c r="J14" s="251" t="s">
        <v>345</v>
      </c>
      <c r="K14" s="252" t="s">
        <v>340</v>
      </c>
      <c r="L14" s="255" t="s">
        <v>273</v>
      </c>
    </row>
    <row r="15" spans="1:12" x14ac:dyDescent="0.25">
      <c r="A15" s="193">
        <v>141</v>
      </c>
      <c r="B15" s="2553" t="str">
        <f>'Alimentatie 2023-02'!B$288</f>
        <v>Kinderalimentatie</v>
      </c>
      <c r="C15" s="2553"/>
      <c r="D15" s="2598"/>
      <c r="E15" s="831">
        <f>'Alimentatie 2023-02'!D$288</f>
        <v>0</v>
      </c>
      <c r="F15" s="504">
        <f>'Alimentatie 2023-02'!F$288</f>
        <v>0</v>
      </c>
      <c r="J15" s="250" t="s">
        <v>344</v>
      </c>
      <c r="K15" s="256" t="str">
        <f>BGPartnerAP</f>
        <v>AP</v>
      </c>
      <c r="L15" s="257">
        <f>Basisgegevens!$C$5</f>
        <v>29586</v>
      </c>
    </row>
    <row r="16" spans="1:12" ht="15.75" thickBot="1" x14ac:dyDescent="0.3">
      <c r="A16" s="217">
        <v>141</v>
      </c>
      <c r="B16" s="2546" t="str">
        <f>'Alimentatie 2023-02'!B$289</f>
        <v>Verblijfskosten kinderen (Zorgkorting)</v>
      </c>
      <c r="C16" s="2546"/>
      <c r="D16" s="2599"/>
      <c r="E16" s="832">
        <f>'Alimentatie 2023-02'!D$289</f>
        <v>0</v>
      </c>
      <c r="F16" s="500">
        <f>'Alimentatie 2023-02'!F$289</f>
        <v>0</v>
      </c>
      <c r="J16" s="249" t="s">
        <v>343</v>
      </c>
      <c r="K16" s="258" t="str">
        <f>BGPartnerAG</f>
        <v>AG</v>
      </c>
      <c r="L16" s="259">
        <f>Basisgegevens!$D$5</f>
        <v>29221</v>
      </c>
    </row>
    <row r="17" spans="1:13" ht="15.75" thickBot="1" x14ac:dyDescent="0.3">
      <c r="A17" s="10">
        <v>141</v>
      </c>
      <c r="B17" s="2567" t="str">
        <f>'Alimentatie 2023-02'!B$290</f>
        <v>Eigen aandeel kosten kinderen</v>
      </c>
      <c r="C17" s="2567"/>
      <c r="D17" s="2568"/>
      <c r="E17" s="833">
        <f>'Alimentatie 2023-02'!D$290</f>
        <v>0</v>
      </c>
      <c r="F17" s="501">
        <f>'Alimentatie 2023-02'!F$290</f>
        <v>0</v>
      </c>
    </row>
    <row r="18" spans="1:13" ht="15.75" thickBot="1" x14ac:dyDescent="0.3">
      <c r="A18" s="1435"/>
      <c r="B18" s="2571" t="str">
        <f>'Alimentatie 2023-02'!B291</f>
        <v>Kinderalimentatie per maand:</v>
      </c>
      <c r="C18" s="2572"/>
      <c r="D18" s="2573"/>
      <c r="E18" s="834">
        <f>SUM(E15:E17)</f>
        <v>0</v>
      </c>
      <c r="F18" s="130">
        <f>SUM(F15:F17)</f>
        <v>0</v>
      </c>
    </row>
    <row r="19" spans="1:13" ht="15.75" thickBot="1" x14ac:dyDescent="0.3">
      <c r="A19" s="273"/>
      <c r="B19" s="2569" t="s">
        <v>346</v>
      </c>
      <c r="C19" s="2570"/>
      <c r="D19" s="2570"/>
      <c r="E19" s="1700">
        <f ca="1">KAEigenAandeel</f>
        <v>0</v>
      </c>
    </row>
    <row r="20" spans="1:13" ht="15.75" thickBot="1" x14ac:dyDescent="0.3">
      <c r="B20" s="247"/>
    </row>
    <row r="21" spans="1:13" ht="15.75" thickBot="1" x14ac:dyDescent="0.3">
      <c r="A21" s="277" t="s">
        <v>249</v>
      </c>
      <c r="B21" s="2558" t="s">
        <v>105</v>
      </c>
      <c r="C21" s="2559"/>
      <c r="D21" s="2559"/>
      <c r="E21" s="1519" t="str">
        <f>BGPartnerAP</f>
        <v>AP</v>
      </c>
      <c r="F21" s="266" t="str">
        <f>'Alimentatie 2023-02'!$E$2</f>
        <v>Kinderalimentatie</v>
      </c>
      <c r="G21" s="1562" t="str">
        <f>BGPartnerAG</f>
        <v>AG</v>
      </c>
      <c r="H21" s="266" t="str">
        <f>'Alimentatie 2023-02'!$G$2</f>
        <v>Kinderalimentatie</v>
      </c>
      <c r="J21" s="140" t="s">
        <v>249</v>
      </c>
      <c r="K21" s="484" t="s">
        <v>341</v>
      </c>
      <c r="L21" s="253" t="s">
        <v>273</v>
      </c>
      <c r="M21" s="254" t="s">
        <v>342</v>
      </c>
    </row>
    <row r="22" spans="1:13" x14ac:dyDescent="0.25">
      <c r="A22" s="193">
        <v>64</v>
      </c>
      <c r="B22" s="2577" t="str">
        <f>'Alimentatie 2023-02'!B$56</f>
        <v>Belastbaar loon:</v>
      </c>
      <c r="C22" s="2578"/>
      <c r="D22" s="2579"/>
      <c r="E22" s="1614">
        <f>AL64BelastbaarLoon_AP</f>
        <v>0</v>
      </c>
      <c r="F22" s="483">
        <f>'Alimentatie 2023-02'!E$56</f>
        <v>0</v>
      </c>
      <c r="G22" s="1607">
        <f>AL64BelastbaarLoon_AG</f>
        <v>0</v>
      </c>
      <c r="H22" s="483">
        <f>'Alimentatie 2023-02'!G$56</f>
        <v>0</v>
      </c>
      <c r="J22" s="11">
        <v>1</v>
      </c>
      <c r="K22" s="485" t="str">
        <f>IF(TRIM(Basisgegevens!B$295)="","--",Basisgegevens!B$295)</f>
        <v>--</v>
      </c>
      <c r="L22" s="260" t="str">
        <f>IF(K22="--","--",Basisgegevens!E$295)</f>
        <v>--</v>
      </c>
      <c r="M22" s="261" t="str">
        <f>IF(K22="--","--",IF(Basisgegevens!C$295=1,$K$15,IF(Basisgegevens!D$295=1,$K$16,"--")))</f>
        <v>--</v>
      </c>
    </row>
    <row r="23" spans="1:13" x14ac:dyDescent="0.25">
      <c r="A23" s="217">
        <v>75</v>
      </c>
      <c r="B23" s="2564" t="str">
        <f>'Alimentatie 2023-02'!B$75</f>
        <v>Belastbare winst uit onderneming:</v>
      </c>
      <c r="C23" s="2565"/>
      <c r="D23" s="2566"/>
      <c r="E23" s="1615">
        <f>AL75BelastbareWinst_AP</f>
        <v>0</v>
      </c>
      <c r="F23" s="274">
        <f>'Alimentatie 2023-02'!E$75</f>
        <v>0</v>
      </c>
      <c r="G23" s="1608">
        <f>AL75BelastbareWinst_AG</f>
        <v>0</v>
      </c>
      <c r="H23" s="274">
        <f>'Alimentatie 2023-02'!G$75</f>
        <v>0</v>
      </c>
      <c r="J23" s="217">
        <v>2</v>
      </c>
      <c r="K23" s="486" t="str">
        <f>IF(TRIM(Basisgegevens!B$296)="","--",Basisgegevens!B$296)</f>
        <v>--</v>
      </c>
      <c r="L23" s="262" t="str">
        <f>IF(K23="--","--",Basisgegevens!E$296)</f>
        <v>--</v>
      </c>
      <c r="M23" s="263" t="str">
        <f>IF(K23="--","--",IF(Basisgegevens!C$296=1,$K$15,IF(Basisgegevens!D$296=1,$K$16,"--")))</f>
        <v>--</v>
      </c>
    </row>
    <row r="24" spans="1:13" x14ac:dyDescent="0.25">
      <c r="A24" s="217">
        <v>78</v>
      </c>
      <c r="B24" s="2564" t="str">
        <f>'Alimentatie 2023-02'!B$80</f>
        <v>Belastbaar resultaat uit overige werkzaamheden:</v>
      </c>
      <c r="C24" s="2565"/>
      <c r="D24" s="2566"/>
      <c r="E24" s="1615">
        <f>AL78OverigeWerkz_AP</f>
        <v>0</v>
      </c>
      <c r="F24" s="274">
        <f>'Alimentatie 2023-02'!E$80</f>
        <v>0</v>
      </c>
      <c r="G24" s="1608">
        <f>AL78OverigeWerkz_AG</f>
        <v>0</v>
      </c>
      <c r="H24" s="274">
        <f>'Alimentatie 2023-02'!G$80</f>
        <v>0</v>
      </c>
      <c r="J24" s="217">
        <v>3</v>
      </c>
      <c r="K24" s="486" t="str">
        <f>IF(TRIM(Basisgegevens!B$297)="","--",Basisgegevens!B$297)</f>
        <v>--</v>
      </c>
      <c r="L24" s="262" t="str">
        <f>IF(K24="--","--",Basisgegevens!E$297)</f>
        <v>--</v>
      </c>
      <c r="M24" s="263" t="str">
        <f>IF(K24="--","--",IF(Basisgegevens!C$297=1,$K$15,IF(Basisgegevens!D$297=1,$K$16,"--")))</f>
        <v>--</v>
      </c>
    </row>
    <row r="25" spans="1:13" x14ac:dyDescent="0.25">
      <c r="A25" s="217">
        <v>81</v>
      </c>
      <c r="B25" s="2564" t="str">
        <f>'Alimentatie 2023-02'!B$86</f>
        <v>Belastbare periodieke uitkeringen en verstrekkingen:</v>
      </c>
      <c r="C25" s="2565"/>
      <c r="D25" s="2566"/>
      <c r="E25" s="1615">
        <f>AL81Periodieken_AP</f>
        <v>0</v>
      </c>
      <c r="F25" s="274">
        <f>'Alimentatie 2023-02'!E$86</f>
        <v>0</v>
      </c>
      <c r="G25" s="1608">
        <f>AL81Periodieken_AG</f>
        <v>0</v>
      </c>
      <c r="H25" s="274">
        <f>'Alimentatie 2023-02'!G$86</f>
        <v>0</v>
      </c>
      <c r="J25" s="217">
        <v>4</v>
      </c>
      <c r="K25" s="486" t="str">
        <f>IF(TRIM(Basisgegevens!B$298)="","--",Basisgegevens!B$298)</f>
        <v>--</v>
      </c>
      <c r="L25" s="262" t="str">
        <f>IF(K25="--","--",Basisgegevens!E$298)</f>
        <v>--</v>
      </c>
      <c r="M25" s="263" t="str">
        <f>IF(K25="--","--",IF(Basisgegevens!C$298=1,$K$15,IF(Basisgegevens!D$298=1,$K$16,"--")))</f>
        <v>--</v>
      </c>
    </row>
    <row r="26" spans="1:13" x14ac:dyDescent="0.25">
      <c r="A26" s="217">
        <v>81</v>
      </c>
      <c r="B26" s="2564" t="str">
        <f>'Alimentatie 2023-02'!B$91</f>
        <v>OEW: Totaal fictief PA-inkomen verkregen via EWF / Rente:</v>
      </c>
      <c r="C26" s="2565"/>
      <c r="D26" s="2566"/>
      <c r="E26" s="1615">
        <f>IF(BGOEWRekenModule="Nee",0,AL81OEWFictiefInk_AP)</f>
        <v>0</v>
      </c>
      <c r="F26" s="274">
        <f>'Alimentatie 2023-02'!E$91</f>
        <v>0</v>
      </c>
      <c r="G26" s="1608">
        <f>IF(BGOEWRekenModule="Nee",0,AL81OEWFictiefInk_AG)</f>
        <v>0</v>
      </c>
      <c r="H26" s="274">
        <f>'Alimentatie 2023-02'!G$91</f>
        <v>0</v>
      </c>
      <c r="J26" s="217">
        <v>5</v>
      </c>
      <c r="K26" s="486" t="str">
        <f>IF(TRIM(Basisgegevens!B$299)="","--",Basisgegevens!B$299)</f>
        <v>--</v>
      </c>
      <c r="L26" s="262" t="str">
        <f>IF(K26="--","--",Basisgegevens!E$299)</f>
        <v>--</v>
      </c>
      <c r="M26" s="263" t="str">
        <f>IF(K26="--","--",IF(Basisgegevens!C$299=1,$K$15,IF(Basisgegevens!D$299=1,$K$16,"--")))</f>
        <v>--</v>
      </c>
    </row>
    <row r="27" spans="1:13" x14ac:dyDescent="0.25">
      <c r="A27" s="217">
        <v>85</v>
      </c>
      <c r="B27" s="2564" t="str">
        <f>'Alimentatie 2023-02'!B$102</f>
        <v>Belastbare inkomsten uit eigen woning:</v>
      </c>
      <c r="C27" s="2565"/>
      <c r="D27" s="2566"/>
      <c r="E27" s="1615">
        <f>AL85InkomstenEW_AP</f>
        <v>0</v>
      </c>
      <c r="F27" s="274">
        <f>'Alimentatie 2023-02'!E$102</f>
        <v>0</v>
      </c>
      <c r="G27" s="1608">
        <f>AL85InkomstenEW_AG</f>
        <v>0</v>
      </c>
      <c r="H27" s="274">
        <f>'Alimentatie 2023-02'!G$102</f>
        <v>0</v>
      </c>
      <c r="J27" s="217">
        <v>6</v>
      </c>
      <c r="K27" s="486" t="str">
        <f>IF(TRIM(Basisgegevens!B$300)="","--",Basisgegevens!B$300)</f>
        <v>--</v>
      </c>
      <c r="L27" s="262" t="str">
        <f>IF(K27="--","--",Basisgegevens!E$300)</f>
        <v>--</v>
      </c>
      <c r="M27" s="263" t="str">
        <f>IF(K27="--","--",IF(Basisgegevens!C$300=1,$K$15,IF(Basisgegevens!D$300=1,$K$16,"--")))</f>
        <v>--</v>
      </c>
    </row>
    <row r="28" spans="1:13" x14ac:dyDescent="0.25">
      <c r="A28" s="217">
        <v>89</v>
      </c>
      <c r="B28" s="2564" t="str">
        <f>'Alimentatie 2023-02'!B$108</f>
        <v>Uitgaven voor inkomensvoorziening:</v>
      </c>
      <c r="C28" s="2565"/>
      <c r="D28" s="2566"/>
      <c r="E28" s="1615">
        <f>AL89Inkomensvoorz_AP</f>
        <v>0</v>
      </c>
      <c r="F28" s="274">
        <f>'Alimentatie 2023-02'!E$108</f>
        <v>0</v>
      </c>
      <c r="G28" s="1608">
        <f>AL89Inkomensvoorz_AG</f>
        <v>0</v>
      </c>
      <c r="H28" s="274">
        <f>'Alimentatie 2023-02'!G$108</f>
        <v>0</v>
      </c>
      <c r="J28" s="217" t="s">
        <v>531</v>
      </c>
      <c r="K28" s="486" t="str">
        <f>IF(TRIM(Basisgegevens!B$301)="","--",Basisgegevens!B$301)</f>
        <v>--</v>
      </c>
      <c r="L28" s="262" t="str">
        <f>IF(K28="--","--",Basisgegevens!E$301)</f>
        <v>--</v>
      </c>
      <c r="M28" s="263" t="str">
        <f>IF(K28="--","--",IF(Basisgegevens!C$301=1,$K$15,IF(Basisgegevens!D$301=1,$K$16,"--")))</f>
        <v>--</v>
      </c>
    </row>
    <row r="29" spans="1:13" ht="15.75" thickBot="1" x14ac:dyDescent="0.3">
      <c r="A29" s="217">
        <v>90</v>
      </c>
      <c r="B29" s="2574" t="str">
        <f>'Alimentatie 2023-02'!B$110</f>
        <v>Uitgaven voor kinderopvang (vervallen):</v>
      </c>
      <c r="C29" s="2575"/>
      <c r="D29" s="2576"/>
      <c r="E29" s="1616">
        <f>AL90Kinderopvang_AP</f>
        <v>0</v>
      </c>
      <c r="F29" s="1429">
        <f>'Alimentatie 2023-02'!E$110</f>
        <v>0</v>
      </c>
      <c r="G29" s="1561">
        <f>AL90Kinderopvang_AG</f>
        <v>0</v>
      </c>
      <c r="H29" s="1429">
        <f>'Alimentatie 2023-02'!G$110</f>
        <v>0</v>
      </c>
      <c r="J29" s="217">
        <v>8</v>
      </c>
      <c r="K29" s="486" t="str">
        <f>IF(TRIM(Basisgegevens!B$302)="","--",Basisgegevens!B$302)</f>
        <v>--</v>
      </c>
      <c r="L29" s="262" t="str">
        <f>IF(K29="--","--",Basisgegevens!E$302)</f>
        <v>--</v>
      </c>
      <c r="M29" s="263" t="str">
        <f>IF(K29="--","--",IF(Basisgegevens!C$302=1,$K$15,IF(Basisgegevens!D$302=1,$K$16,"--")))</f>
        <v>--</v>
      </c>
    </row>
    <row r="30" spans="1:13" ht="15.75" thickBot="1" x14ac:dyDescent="0.3">
      <c r="A30" s="217">
        <v>94</v>
      </c>
      <c r="B30" s="2547" t="str">
        <f>'Alimentatie 2023-02'!B$129</f>
        <v>Belastbaar verzamelinkomen uit werk en woning (a t/m h) (Box I):</v>
      </c>
      <c r="C30" s="2548"/>
      <c r="D30" s="2549"/>
      <c r="E30" s="1617">
        <f>AL94VerzInkomen_AP</f>
        <v>0</v>
      </c>
      <c r="F30" s="1433">
        <f>'Alimentatie 2023-02'!E$129</f>
        <v>0</v>
      </c>
      <c r="G30" s="1609">
        <f>AL94VerzInkomen_AG</f>
        <v>0</v>
      </c>
      <c r="H30" s="1433">
        <f>'Alimentatie 2023-02'!G$129</f>
        <v>0</v>
      </c>
      <c r="J30" s="217">
        <v>9</v>
      </c>
      <c r="K30" s="486" t="str">
        <f>IF(TRIM(Basisgegevens!B$303)="","--",Basisgegevens!B$303)</f>
        <v>--</v>
      </c>
      <c r="L30" s="262" t="str">
        <f>IF(K30="--","--",Basisgegevens!E$303)</f>
        <v>--</v>
      </c>
      <c r="M30" s="263" t="str">
        <f>IF(K30="--","--",IF(Basisgegevens!C$303=1,$K$15,IF(Basisgegevens!D$303=1,$K$16,"--")))</f>
        <v>--</v>
      </c>
    </row>
    <row r="31" spans="1:13" ht="15.75" thickBot="1" x14ac:dyDescent="0.3">
      <c r="A31" s="217">
        <v>100</v>
      </c>
      <c r="B31" s="2547" t="str">
        <f>'Alimentatie 2023-02'!B$144&amp;" (Box 2)"</f>
        <v>Inkomen uit aanmerkelijk belang: (Box 2)</v>
      </c>
      <c r="C31" s="2548"/>
      <c r="D31" s="2549"/>
      <c r="E31" s="1617">
        <f>AL100InkAanmBelang_AP</f>
        <v>0</v>
      </c>
      <c r="F31" s="1433">
        <f>'Alimentatie 2023-02'!E$144</f>
        <v>0</v>
      </c>
      <c r="G31" s="1609">
        <f>AL100InkAanmBelang_AG</f>
        <v>0</v>
      </c>
      <c r="H31" s="1433">
        <f>'Alimentatie 2023-02'!G$144</f>
        <v>0</v>
      </c>
      <c r="J31" s="217">
        <v>10</v>
      </c>
      <c r="K31" s="486" t="str">
        <f>IF(TRIM(Basisgegevens!B$304)="","--",Basisgegevens!B$304)</f>
        <v>--</v>
      </c>
      <c r="L31" s="262" t="str">
        <f>IF(K31="--","--",Basisgegevens!E$304)</f>
        <v>--</v>
      </c>
      <c r="M31" s="263" t="str">
        <f>IF(K31="--","--",IF(Basisgegevens!C$304=1,$K$15,IF(Basisgegevens!D$304=1,$K$16,"--")))</f>
        <v>--</v>
      </c>
    </row>
    <row r="32" spans="1:13" x14ac:dyDescent="0.25">
      <c r="A32" s="217">
        <v>103</v>
      </c>
      <c r="B32" s="2550" t="str">
        <f>'Alimentatie 2023-02'!B$155</f>
        <v>Werkelijke vermogensinkomsten:</v>
      </c>
      <c r="C32" s="2551"/>
      <c r="D32" s="2551"/>
      <c r="E32" s="1618">
        <f>AL103WerkVemInk_AP</f>
        <v>0</v>
      </c>
      <c r="F32" s="1432">
        <f>'Alimentatie 2023-02'!E$155</f>
        <v>0</v>
      </c>
      <c r="G32" s="1610">
        <f>AL103WerkVemInk_AG</f>
        <v>0</v>
      </c>
      <c r="H32" s="1432">
        <f>'Alimentatie 2023-02'!G$155</f>
        <v>0</v>
      </c>
      <c r="J32" s="217">
        <v>11</v>
      </c>
      <c r="K32" s="486" t="str">
        <f>IF(TRIM(Basisgegevens!B$305)="","--",Basisgegevens!B$305)</f>
        <v>--</v>
      </c>
      <c r="L32" s="262" t="str">
        <f>IF(K32="--","--",Basisgegevens!E$305)</f>
        <v>--</v>
      </c>
      <c r="M32" s="263" t="str">
        <f>IF(K32="--","--",IF(Basisgegevens!C$305=1,$K$15,IF(Basisgegevens!D$305=1,$K$16,"--")))</f>
        <v>--</v>
      </c>
    </row>
    <row r="33" spans="1:13" ht="15.75" thickBot="1" x14ac:dyDescent="0.3">
      <c r="A33" s="217">
        <v>108</v>
      </c>
      <c r="B33" s="2554" t="str">
        <f>'Alimentatie 2023-02'!B$171</f>
        <v>Grondslag sparen en beleggen</v>
      </c>
      <c r="C33" s="2555"/>
      <c r="D33" s="2555"/>
      <c r="E33" s="1616">
        <f>AL108GrondslagSenB_AP</f>
        <v>0</v>
      </c>
      <c r="F33" s="1429">
        <f>'Alimentatie 2023-02'!E$171</f>
        <v>0</v>
      </c>
      <c r="G33" s="1561">
        <f>AL108GrondslagSenB_AG</f>
        <v>0</v>
      </c>
      <c r="H33" s="580">
        <f>'Alimentatie 2023-02'!G$171</f>
        <v>0</v>
      </c>
      <c r="J33" s="10">
        <v>12</v>
      </c>
      <c r="K33" s="487" t="str">
        <f>IF(TRIM(Basisgegevens!B$306)="","--",Basisgegevens!B$306)</f>
        <v>--</v>
      </c>
      <c r="L33" s="264" t="str">
        <f>IF(K33="--","--",Basisgegevens!E$306)</f>
        <v>--</v>
      </c>
      <c r="M33" s="265" t="str">
        <f>IF(K33="--","--",IF(Basisgegevens!C$306=1,$K$15,IF(Basisgegevens!D$306=1,$K$16,"--")))</f>
        <v>--</v>
      </c>
    </row>
    <row r="34" spans="1:13" ht="15.75" thickBot="1" x14ac:dyDescent="0.3">
      <c r="A34" s="217">
        <v>111</v>
      </c>
      <c r="B34" s="2556" t="str">
        <f>'Alimentatie 2023-02'!B$175</f>
        <v>Belastbaar inkomen uit sparen en beleggen (Box III):</v>
      </c>
      <c r="C34" s="2557"/>
      <c r="D34" s="2557"/>
      <c r="E34" s="1617">
        <f>AL111InkomenBox3_AP</f>
        <v>0</v>
      </c>
      <c r="F34" s="1619">
        <f>'Alimentatie 2023-02'!E$175</f>
        <v>0</v>
      </c>
      <c r="G34" s="1609">
        <f>AL111InkomenBox3_AG</f>
        <v>0</v>
      </c>
      <c r="H34" s="1433">
        <f>'Alimentatie 2023-02'!G$175</f>
        <v>0</v>
      </c>
    </row>
    <row r="35" spans="1:13" x14ac:dyDescent="0.25">
      <c r="A35" s="217">
        <v>119</v>
      </c>
      <c r="B35" s="2545" t="str">
        <f>'Alimentatie 2023-02'!B$224</f>
        <v>Totaal Netto inkomsten (incl. evt. KGB):</v>
      </c>
      <c r="C35" s="2546"/>
      <c r="D35" s="2546"/>
      <c r="E35" s="1615">
        <f>'Alimentatie 2023-02'!D$216+'Alimentatie 2023-02'!D$224-'Alimentatie 2023-02'!D$227</f>
        <v>0</v>
      </c>
      <c r="F35" s="1620">
        <f>'Alimentatie 2023-02'!E$216+'Alimentatie 2023-02'!E$224-'Alimentatie 2023-02'!E$227</f>
        <v>0</v>
      </c>
      <c r="G35" s="1608">
        <f>'Alimentatie 2023-02'!F$216+'Alimentatie 2023-02'!F$224-'Alimentatie 2023-02'!F$227</f>
        <v>0</v>
      </c>
      <c r="H35" s="274">
        <f>'Alimentatie 2023-02'!G$216+'Alimentatie 2023-02'!G$224-'Alimentatie 2023-02'!G$227</f>
        <v>0</v>
      </c>
    </row>
    <row r="36" spans="1:13" x14ac:dyDescent="0.25">
      <c r="A36" s="217">
        <v>121</v>
      </c>
      <c r="B36" s="2545" t="str">
        <f>'Alimentatie 2023-02'!B$246</f>
        <v>Netto Besteedbaar Inkomen (NBI) per maand:</v>
      </c>
      <c r="C36" s="2546"/>
      <c r="D36" s="2546"/>
      <c r="E36" s="1615">
        <f ca="1">'Alimentatie 2023-02'!D$246</f>
        <v>0</v>
      </c>
      <c r="F36" s="274">
        <f ca="1">'Alimentatie 2023-02'!E$246</f>
        <v>0</v>
      </c>
      <c r="G36" s="1608">
        <f ca="1">'Alimentatie 2023-02'!F$246</f>
        <v>0</v>
      </c>
      <c r="H36" s="274">
        <f ca="1">'Alimentatie 2023-02'!G$246</f>
        <v>0</v>
      </c>
    </row>
    <row r="37" spans="1:13" x14ac:dyDescent="0.25">
      <c r="A37" s="217">
        <v>135</v>
      </c>
      <c r="B37" s="2545" t="str">
        <f>'Alimentatie 2023-02'!B$267</f>
        <v>Draagkrachtloos inkomen:</v>
      </c>
      <c r="C37" s="2546"/>
      <c r="D37" s="2546"/>
      <c r="E37" s="1615">
        <f ca="1">'Alimentatie 2023-02'!D$267</f>
        <v>1475</v>
      </c>
      <c r="F37" s="274">
        <f ca="1">'Alimentatie 2023-02'!E$267</f>
        <v>1475</v>
      </c>
      <c r="G37" s="1608">
        <f ca="1">'Alimentatie 2023-02'!F$267</f>
        <v>1475</v>
      </c>
      <c r="H37" s="274">
        <f ca="1">'Alimentatie 2023-02'!G$267</f>
        <v>1475</v>
      </c>
    </row>
    <row r="38" spans="1:13" ht="15.75" thickBot="1" x14ac:dyDescent="0.3">
      <c r="A38" s="217">
        <v>136</v>
      </c>
      <c r="B38" s="2554" t="str">
        <f>'Alimentatie 2023-02'!B$272</f>
        <v>Draagkrachtruimte:</v>
      </c>
      <c r="C38" s="2555"/>
      <c r="D38" s="2555"/>
      <c r="E38" s="1616">
        <f ca="1">'Alimentatie 2023-02'!D$272</f>
        <v>-1475</v>
      </c>
      <c r="F38" s="1429">
        <f ca="1">'Alimentatie 2023-02'!E$272</f>
        <v>-1475</v>
      </c>
      <c r="G38" s="1561">
        <f ca="1">'Alimentatie 2023-02'!F$272</f>
        <v>-1475</v>
      </c>
      <c r="H38" s="1429">
        <f ca="1">'Alimentatie 2023-02'!G$272</f>
        <v>-1475</v>
      </c>
    </row>
    <row r="39" spans="1:13" ht="15.75" thickBot="1" x14ac:dyDescent="0.3">
      <c r="A39" s="217">
        <v>137</v>
      </c>
      <c r="B39" s="2543" t="str">
        <f>'Alimentatie 2023-02'!B$277</f>
        <v>Beschikbaar voor partner en kinderalimentatie</v>
      </c>
      <c r="C39" s="2544"/>
      <c r="D39" s="2544"/>
      <c r="E39" s="1621">
        <f ca="1">'Alimentatie 2023-02'!D$277</f>
        <v>-885</v>
      </c>
      <c r="F39" s="1431">
        <f ca="1">'Alimentatie 2023-02'!E$277</f>
        <v>-1032.5</v>
      </c>
      <c r="G39" s="1611">
        <f ca="1">'Alimentatie 2023-02'!F$277</f>
        <v>-885</v>
      </c>
      <c r="H39" s="1431">
        <f ca="1">'Alimentatie 2023-02'!G$277</f>
        <v>-1032.5</v>
      </c>
    </row>
    <row r="40" spans="1:13" x14ac:dyDescent="0.25">
      <c r="A40" s="217">
        <v>137</v>
      </c>
      <c r="B40" s="2552" t="str">
        <f>'Alimentatie 2023-02'!B$278</f>
        <v>Andere onderhoudsverplichtingen</v>
      </c>
      <c r="C40" s="2553"/>
      <c r="D40" s="2553"/>
      <c r="E40" s="1622">
        <f>'Alimentatie 2023-02'!D$278</f>
        <v>0</v>
      </c>
      <c r="F40" s="1430">
        <f>'Alimentatie 2023-02'!E$278</f>
        <v>0</v>
      </c>
      <c r="G40" s="1612">
        <f>'Alimentatie 2023-02'!F$278</f>
        <v>0</v>
      </c>
      <c r="H40" s="1430">
        <f>'Alimentatie 2023-02'!G$278</f>
        <v>0</v>
      </c>
    </row>
    <row r="41" spans="1:13" x14ac:dyDescent="0.25">
      <c r="A41" s="217">
        <v>138</v>
      </c>
      <c r="B41" s="2545" t="str">
        <f>'Alimentatie 2023-02'!B$279</f>
        <v xml:space="preserve">Alimentatieverplichting (eerdere) ex-partner </v>
      </c>
      <c r="C41" s="2546"/>
      <c r="D41" s="2546"/>
      <c r="E41" s="1616">
        <f>'Alimentatie 2023-02'!D$279</f>
        <v>0</v>
      </c>
      <c r="F41" s="274" t="str">
        <f>'Alimentatie 2023-02'!E$279</f>
        <v>n.v.t</v>
      </c>
      <c r="G41" s="1561">
        <f>'Alimentatie 2023-02'!F$279</f>
        <v>0</v>
      </c>
      <c r="H41" s="1429" t="str">
        <f>'Alimentatie 2023-02'!G$279</f>
        <v>n.v.t</v>
      </c>
    </row>
    <row r="42" spans="1:13" ht="15.75" thickBot="1" x14ac:dyDescent="0.3">
      <c r="A42" s="10">
        <v>138</v>
      </c>
      <c r="B42" s="2580" t="str">
        <f>'Alimentatie 2023-02'!B$282</f>
        <v>OEW: Hypotheekrente betaald voor ex. partner als partneralimentatie</v>
      </c>
      <c r="C42" s="2581"/>
      <c r="D42" s="2581"/>
      <c r="E42" s="1623">
        <f>IF(BGOEWRekenModule="Nee",0,BGOEW138RentePA_AP)/12</f>
        <v>0</v>
      </c>
      <c r="F42" s="1434" t="s">
        <v>783</v>
      </c>
      <c r="G42" s="1613">
        <f>IF(BGOEWRekenModule="Nee",0,BGOEW138RentePA_AG)/12</f>
        <v>0</v>
      </c>
      <c r="H42" s="1434" t="s">
        <v>783</v>
      </c>
    </row>
  </sheetData>
  <sheetProtection algorithmName="SHA-512" hashValue="6owDT757geVE7l2Nod+GUDwsyhQ98LXBOQ5SWUCcQMtUDzZ60GkD/bxJANmozuHYLfqYK1iQzX48mFp5ZrnPmA==" saltValue="9QmjaSgcdQ36mjKC2snQHw==" spinCount="100000" sheet="1" objects="1" scenarios="1"/>
  <mergeCells count="39">
    <mergeCell ref="B42:D42"/>
    <mergeCell ref="B3:C3"/>
    <mergeCell ref="G3:H3"/>
    <mergeCell ref="B14:D14"/>
    <mergeCell ref="B10:D10"/>
    <mergeCell ref="B6:D6"/>
    <mergeCell ref="B5:D5"/>
    <mergeCell ref="B7:D7"/>
    <mergeCell ref="B8:D8"/>
    <mergeCell ref="B11:D11"/>
    <mergeCell ref="B12:D12"/>
    <mergeCell ref="B15:D15"/>
    <mergeCell ref="B30:D30"/>
    <mergeCell ref="B33:D33"/>
    <mergeCell ref="B16:D16"/>
    <mergeCell ref="B27:D27"/>
    <mergeCell ref="B28:D28"/>
    <mergeCell ref="B26:D26"/>
    <mergeCell ref="B29:D29"/>
    <mergeCell ref="B24:D24"/>
    <mergeCell ref="B22:D22"/>
    <mergeCell ref="B21:D21"/>
    <mergeCell ref="G10:I10"/>
    <mergeCell ref="G8:I8"/>
    <mergeCell ref="B25:D25"/>
    <mergeCell ref="B17:D17"/>
    <mergeCell ref="B23:D23"/>
    <mergeCell ref="B19:D19"/>
    <mergeCell ref="B18:D18"/>
    <mergeCell ref="B39:D39"/>
    <mergeCell ref="B41:D41"/>
    <mergeCell ref="B31:D31"/>
    <mergeCell ref="B32:D32"/>
    <mergeCell ref="B35:D35"/>
    <mergeCell ref="B36:D36"/>
    <mergeCell ref="B37:D37"/>
    <mergeCell ref="B40:D40"/>
    <mergeCell ref="B38:D38"/>
    <mergeCell ref="B34:D34"/>
  </mergeCells>
  <conditionalFormatting sqref="E6:E8">
    <cfRule type="colorScale" priority="6">
      <colorScale>
        <cfvo type="min"/>
        <cfvo type="percentile" val="50"/>
        <cfvo type="max"/>
        <color rgb="FF63BE7B"/>
        <color rgb="FFFFEB84"/>
        <color rgb="FFFFC000"/>
      </colorScale>
    </cfRule>
  </conditionalFormatting>
  <conditionalFormatting sqref="F6:F8">
    <cfRule type="colorScale" priority="5">
      <colorScale>
        <cfvo type="min"/>
        <cfvo type="percentile" val="50"/>
        <cfvo type="max"/>
        <color rgb="FF63BE7B"/>
        <color rgb="FFFFEB84"/>
        <color rgb="FFFFC000"/>
      </colorScale>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T8"/>
  <sheetViews>
    <sheetView showGridLines="0" zoomScale="80" zoomScaleNormal="80" workbookViewId="0"/>
  </sheetViews>
  <sheetFormatPr defaultRowHeight="15" x14ac:dyDescent="0.25"/>
  <cols>
    <col min="1" max="1" width="11.7109375" bestFit="1" customWidth="1"/>
    <col min="2" max="2" width="1.7109375" customWidth="1"/>
    <col min="3" max="3" width="11.7109375" bestFit="1" customWidth="1"/>
    <col min="4" max="4" width="1.7109375" customWidth="1"/>
    <col min="5" max="5" width="11.7109375" bestFit="1" customWidth="1"/>
    <col min="6" max="6" width="1.7109375" customWidth="1"/>
    <col min="8" max="8" width="1.7109375" customWidth="1"/>
    <col min="10" max="10" width="1.7109375" customWidth="1"/>
    <col min="12" max="12" width="1.7109375" customWidth="1"/>
    <col min="13" max="13" width="11.5703125" bestFit="1" customWidth="1"/>
    <col min="14" max="14" width="1.7109375" customWidth="1"/>
    <col min="15" max="15" width="19.85546875" bestFit="1" customWidth="1"/>
    <col min="16" max="16" width="1.7109375" customWidth="1"/>
    <col min="17" max="17" width="25.28515625" bestFit="1" customWidth="1"/>
    <col min="18" max="18" width="14.7109375" bestFit="1" customWidth="1"/>
    <col min="19" max="19" width="1.7109375" customWidth="1"/>
    <col min="20" max="20" width="16.85546875" bestFit="1" customWidth="1"/>
  </cols>
  <sheetData>
    <row r="1" spans="1:20" ht="15.75" thickBot="1" x14ac:dyDescent="0.3">
      <c r="A1" s="244" t="s">
        <v>894</v>
      </c>
      <c r="C1" s="244" t="s">
        <v>893</v>
      </c>
      <c r="E1" s="244" t="s">
        <v>892</v>
      </c>
      <c r="G1" s="244" t="s">
        <v>108</v>
      </c>
      <c r="I1" s="140" t="s">
        <v>272</v>
      </c>
      <c r="K1" s="140" t="s">
        <v>285</v>
      </c>
      <c r="M1" s="140" t="s">
        <v>58</v>
      </c>
      <c r="O1" s="140" t="s">
        <v>637</v>
      </c>
      <c r="Q1" s="245" t="s">
        <v>345</v>
      </c>
      <c r="R1" s="140" t="s">
        <v>711</v>
      </c>
      <c r="T1" s="140" t="s">
        <v>718</v>
      </c>
    </row>
    <row r="2" spans="1:20" x14ac:dyDescent="0.25">
      <c r="A2" s="618" t="s">
        <v>95</v>
      </c>
      <c r="C2" s="618" t="s">
        <v>95</v>
      </c>
      <c r="E2" s="618" t="s">
        <v>95</v>
      </c>
      <c r="G2" s="11" t="s">
        <v>109</v>
      </c>
      <c r="I2" s="193">
        <v>0</v>
      </c>
      <c r="K2" s="150">
        <v>0</v>
      </c>
      <c r="M2" s="150">
        <v>0.6</v>
      </c>
      <c r="O2" s="993" t="s">
        <v>635</v>
      </c>
      <c r="Q2" s="1205" t="s">
        <v>481</v>
      </c>
      <c r="R2" s="1207" t="str">
        <f>Basisgegevens!C4</f>
        <v>AP</v>
      </c>
      <c r="T2" s="993" t="s">
        <v>58</v>
      </c>
    </row>
    <row r="3" spans="1:20" ht="15.75" thickBot="1" x14ac:dyDescent="0.3">
      <c r="A3" s="895" t="s">
        <v>96</v>
      </c>
      <c r="C3" s="895" t="s">
        <v>96</v>
      </c>
      <c r="E3" s="8" t="s">
        <v>191</v>
      </c>
      <c r="G3" s="10" t="s">
        <v>110</v>
      </c>
      <c r="I3" s="10">
        <v>1</v>
      </c>
      <c r="K3" s="151">
        <v>0.05</v>
      </c>
      <c r="M3" s="152">
        <v>0.45</v>
      </c>
      <c r="O3" s="192" t="s">
        <v>645</v>
      </c>
      <c r="Q3" s="1206" t="s">
        <v>480</v>
      </c>
      <c r="R3" s="1208" t="str">
        <f>Basisgegevens!D4</f>
        <v>AG</v>
      </c>
      <c r="T3" s="8" t="s">
        <v>719</v>
      </c>
    </row>
    <row r="4" spans="1:20" ht="15.75" thickBot="1" x14ac:dyDescent="0.3">
      <c r="A4" s="8" t="s">
        <v>97</v>
      </c>
      <c r="C4" s="192" t="s">
        <v>623</v>
      </c>
      <c r="K4" s="151">
        <v>0.15</v>
      </c>
      <c r="O4" s="192" t="s">
        <v>636</v>
      </c>
      <c r="R4" s="1204" t="s">
        <v>733</v>
      </c>
    </row>
    <row r="5" spans="1:20" ht="15.75" thickBot="1" x14ac:dyDescent="0.3">
      <c r="C5" s="8" t="s">
        <v>97</v>
      </c>
      <c r="K5" s="151">
        <v>0.25</v>
      </c>
      <c r="O5" s="192" t="s">
        <v>861</v>
      </c>
    </row>
    <row r="6" spans="1:20" x14ac:dyDescent="0.25">
      <c r="K6" s="151">
        <v>0.35</v>
      </c>
      <c r="O6" s="996" t="s">
        <v>860</v>
      </c>
    </row>
    <row r="7" spans="1:20" ht="15.75" thickBot="1" x14ac:dyDescent="0.3">
      <c r="K7" s="152">
        <v>0.45</v>
      </c>
      <c r="O7" s="996" t="s">
        <v>862</v>
      </c>
    </row>
    <row r="8" spans="1:20" ht="15.75" thickBot="1" x14ac:dyDescent="0.3">
      <c r="O8" s="8" t="s">
        <v>639</v>
      </c>
    </row>
  </sheetData>
  <sheetProtection algorithmName="SHA-512" hashValue="GA4x+EPK5YFQlq+85RDkJCDKlPNBjkByvZkPv7zDzPmhKh/RE2Vp19HIK4pi2gwD10DW3GY3thOp8W8RitRhiA==" saltValue="Y1v5pZ8i1cPLV3arB4XdJ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1297-E08D-4B2A-AE21-FABC639AE524}">
  <sheetPr>
    <tabColor rgb="FFFFFF00"/>
  </sheetPr>
  <dimension ref="A1:I52"/>
  <sheetViews>
    <sheetView showGridLines="0" zoomScale="80" zoomScaleNormal="80" workbookViewId="0"/>
  </sheetViews>
  <sheetFormatPr defaultColWidth="8.85546875" defaultRowHeight="15" x14ac:dyDescent="0.25"/>
  <cols>
    <col min="2" max="2" width="140.7109375" customWidth="1"/>
    <col min="3" max="3" width="50.7109375" customWidth="1"/>
    <col min="9" max="9" width="8.140625" bestFit="1" customWidth="1"/>
  </cols>
  <sheetData>
    <row r="1" spans="1:3" ht="21.75" thickBot="1" x14ac:dyDescent="0.4">
      <c r="A1" s="595"/>
      <c r="B1" s="596" t="s">
        <v>539</v>
      </c>
      <c r="C1" s="1670" t="s">
        <v>615</v>
      </c>
    </row>
    <row r="2" spans="1:3" ht="15.75" thickBot="1" x14ac:dyDescent="0.3">
      <c r="C2" s="700" t="str">
        <f>Basisgegevens!C22</f>
        <v>2023 - 2e halfjaar</v>
      </c>
    </row>
    <row r="3" spans="1:3" ht="15.75" thickBot="1" x14ac:dyDescent="0.3">
      <c r="A3" s="4" t="s">
        <v>544</v>
      </c>
      <c r="B3" s="4" t="s">
        <v>545</v>
      </c>
    </row>
    <row r="4" spans="1:3" ht="15.75" thickBot="1" x14ac:dyDescent="0.3">
      <c r="A4" s="9" t="s">
        <v>543</v>
      </c>
      <c r="B4" s="598" t="s">
        <v>542</v>
      </c>
    </row>
    <row r="5" spans="1:3" ht="28.9" customHeight="1" thickBot="1" x14ac:dyDescent="0.3">
      <c r="A5" s="606"/>
      <c r="B5" s="607" t="s">
        <v>540</v>
      </c>
    </row>
    <row r="6" spans="1:3" ht="28.9" customHeight="1" thickBot="1" x14ac:dyDescent="0.3">
      <c r="A6" s="604"/>
      <c r="B6" s="605" t="s">
        <v>541</v>
      </c>
    </row>
    <row r="7" spans="1:3" ht="28.9" customHeight="1" thickBot="1" x14ac:dyDescent="0.3">
      <c r="A7" s="603"/>
      <c r="B7" s="600" t="s">
        <v>546</v>
      </c>
    </row>
    <row r="8" spans="1:3" ht="28.9" customHeight="1" thickBot="1" x14ac:dyDescent="0.3">
      <c r="A8" s="155"/>
      <c r="B8" s="600" t="s">
        <v>550</v>
      </c>
    </row>
    <row r="9" spans="1:3" ht="28.9" customHeight="1" thickBot="1" x14ac:dyDescent="0.3">
      <c r="A9" s="602"/>
      <c r="B9" s="600" t="s">
        <v>547</v>
      </c>
    </row>
    <row r="10" spans="1:3" ht="28.9" customHeight="1" thickBot="1" x14ac:dyDescent="0.3">
      <c r="A10" s="601"/>
      <c r="B10" s="600" t="s">
        <v>549</v>
      </c>
    </row>
    <row r="11" spans="1:3" ht="28.9" customHeight="1" thickBot="1" x14ac:dyDescent="0.3">
      <c r="A11" s="599"/>
      <c r="B11" s="600" t="s">
        <v>548</v>
      </c>
    </row>
    <row r="12" spans="1:3" ht="14.45" customHeight="1" thickBot="1" x14ac:dyDescent="0.3">
      <c r="A12" s="597"/>
      <c r="B12" s="597"/>
      <c r="C12" s="687"/>
    </row>
    <row r="13" spans="1:3" ht="21.75" thickBot="1" x14ac:dyDescent="0.35">
      <c r="A13" s="613"/>
      <c r="B13" s="2276" t="s">
        <v>551</v>
      </c>
      <c r="C13" s="614"/>
    </row>
    <row r="15" spans="1:3" ht="16.5" thickBot="1" x14ac:dyDescent="0.3">
      <c r="B15" s="451" t="s">
        <v>560</v>
      </c>
    </row>
    <row r="16" spans="1:3" ht="15.75" thickBot="1" x14ac:dyDescent="0.3">
      <c r="A16" s="608">
        <v>1</v>
      </c>
      <c r="B16" s="609" t="s">
        <v>1075</v>
      </c>
      <c r="C16" s="610" t="s">
        <v>215</v>
      </c>
    </row>
    <row r="17" spans="1:9" x14ac:dyDescent="0.25">
      <c r="A17" s="193"/>
      <c r="B17" s="619" t="s">
        <v>553</v>
      </c>
      <c r="C17" s="611"/>
      <c r="D17" s="2"/>
      <c r="E17" s="2"/>
      <c r="F17" s="2"/>
      <c r="G17" s="2"/>
      <c r="H17" s="2"/>
      <c r="I17" s="2"/>
    </row>
    <row r="18" spans="1:9" ht="60" x14ac:dyDescent="0.25">
      <c r="A18" s="217"/>
      <c r="B18" s="631" t="s">
        <v>570</v>
      </c>
      <c r="C18" s="441" t="s">
        <v>552</v>
      </c>
      <c r="D18" s="2"/>
      <c r="E18" s="2"/>
      <c r="F18" s="2"/>
      <c r="G18" s="2"/>
      <c r="H18" s="2"/>
      <c r="I18" s="2"/>
    </row>
    <row r="19" spans="1:9" x14ac:dyDescent="0.25">
      <c r="A19" s="217" t="s">
        <v>557</v>
      </c>
      <c r="B19" s="616" t="s">
        <v>554</v>
      </c>
      <c r="C19" s="441"/>
      <c r="D19" s="2"/>
      <c r="E19" s="2"/>
      <c r="F19" s="2"/>
      <c r="G19" s="2"/>
      <c r="H19" s="2"/>
      <c r="I19" s="2"/>
    </row>
    <row r="20" spans="1:9" ht="270" x14ac:dyDescent="0.25">
      <c r="A20" s="217"/>
      <c r="B20" s="620" t="s">
        <v>1076</v>
      </c>
      <c r="C20" s="612" t="s">
        <v>632</v>
      </c>
      <c r="D20" s="2"/>
      <c r="E20" s="2"/>
      <c r="F20" s="2"/>
      <c r="G20" s="2"/>
      <c r="H20" s="2"/>
      <c r="I20" s="2"/>
    </row>
    <row r="21" spans="1:9" x14ac:dyDescent="0.25">
      <c r="A21" s="217" t="s">
        <v>558</v>
      </c>
      <c r="B21" s="616" t="s">
        <v>555</v>
      </c>
      <c r="C21" s="558"/>
      <c r="D21" s="2"/>
      <c r="E21" s="2"/>
      <c r="F21" s="2"/>
      <c r="G21" s="2"/>
      <c r="H21" s="2"/>
      <c r="I21" s="2"/>
    </row>
    <row r="22" spans="1:9" ht="45.75" thickBot="1" x14ac:dyDescent="0.3">
      <c r="A22" s="10"/>
      <c r="B22" s="621" t="s">
        <v>1077</v>
      </c>
      <c r="C22" s="559"/>
      <c r="D22" s="2"/>
      <c r="E22" s="2"/>
      <c r="F22" s="2"/>
      <c r="G22" s="2"/>
      <c r="H22" s="2"/>
      <c r="I22" s="2"/>
    </row>
    <row r="23" spans="1:9" ht="15.75" thickBot="1" x14ac:dyDescent="0.3">
      <c r="B23" s="2"/>
      <c r="C23" s="2"/>
      <c r="D23" s="2"/>
      <c r="E23" s="2"/>
      <c r="F23" s="2"/>
      <c r="G23" s="2"/>
      <c r="H23" s="2"/>
      <c r="I23" s="2"/>
    </row>
    <row r="24" spans="1:9" ht="15.75" thickBot="1" x14ac:dyDescent="0.3">
      <c r="A24" s="608" t="s">
        <v>877</v>
      </c>
      <c r="B24" s="609" t="s">
        <v>556</v>
      </c>
      <c r="C24" s="610" t="s">
        <v>215</v>
      </c>
      <c r="D24" s="2"/>
      <c r="E24" s="2"/>
      <c r="F24" s="2"/>
      <c r="G24" s="2"/>
      <c r="H24" s="2"/>
      <c r="I24" s="2"/>
    </row>
    <row r="25" spans="1:9" ht="28.9" customHeight="1" x14ac:dyDescent="0.25">
      <c r="A25" s="618"/>
      <c r="B25" s="1667" t="s">
        <v>1078</v>
      </c>
      <c r="C25" s="1289" t="s">
        <v>559</v>
      </c>
      <c r="D25" s="2"/>
      <c r="E25" s="2"/>
      <c r="F25" s="2"/>
      <c r="G25" s="2"/>
      <c r="H25" s="2"/>
      <c r="I25" s="2"/>
    </row>
    <row r="26" spans="1:9" ht="30" x14ac:dyDescent="0.25">
      <c r="A26" s="996"/>
      <c r="B26" s="1708" t="s">
        <v>879</v>
      </c>
      <c r="C26" s="1707"/>
    </row>
    <row r="27" spans="1:9" ht="15.75" thickBot="1" x14ac:dyDescent="0.3">
      <c r="B27" s="2"/>
      <c r="C27" s="2"/>
      <c r="D27" s="2"/>
      <c r="E27" s="2"/>
      <c r="F27" s="2"/>
      <c r="G27" s="2"/>
      <c r="H27" s="2"/>
      <c r="I27" s="2"/>
    </row>
    <row r="28" spans="1:9" ht="15.75" thickBot="1" x14ac:dyDescent="0.3">
      <c r="A28" s="608" t="s">
        <v>878</v>
      </c>
      <c r="B28" s="609" t="s">
        <v>940</v>
      </c>
      <c r="C28" s="610" t="s">
        <v>215</v>
      </c>
      <c r="D28" s="2"/>
      <c r="E28" s="2"/>
      <c r="F28" s="2"/>
      <c r="G28" s="2"/>
      <c r="H28" s="2"/>
      <c r="I28" s="2"/>
    </row>
    <row r="29" spans="1:9" ht="30" x14ac:dyDescent="0.25">
      <c r="A29" s="2600"/>
      <c r="B29" s="1665" t="s">
        <v>1079</v>
      </c>
      <c r="C29" s="611"/>
    </row>
    <row r="30" spans="1:9" ht="60" customHeight="1" thickBot="1" x14ac:dyDescent="0.3">
      <c r="A30" s="2601"/>
      <c r="B30" s="1668" t="s">
        <v>1080</v>
      </c>
      <c r="C30" s="1666" t="s">
        <v>559</v>
      </c>
    </row>
    <row r="31" spans="1:9" ht="15.75" thickBot="1" x14ac:dyDescent="0.3">
      <c r="B31" s="2"/>
      <c r="C31" s="2"/>
      <c r="D31" s="2"/>
      <c r="E31" s="2"/>
      <c r="F31" s="2"/>
      <c r="G31" s="2"/>
      <c r="H31" s="2"/>
      <c r="I31" s="2"/>
    </row>
    <row r="32" spans="1:9" ht="15.75" thickBot="1" x14ac:dyDescent="0.3">
      <c r="A32" s="608">
        <v>3</v>
      </c>
      <c r="B32" s="609" t="s">
        <v>561</v>
      </c>
      <c r="C32" s="610" t="s">
        <v>215</v>
      </c>
      <c r="D32" s="2"/>
      <c r="E32" s="2"/>
      <c r="F32" s="2"/>
      <c r="G32" s="2"/>
      <c r="H32" s="2"/>
      <c r="I32" s="2"/>
    </row>
    <row r="33" spans="1:9" ht="45.75" thickBot="1" x14ac:dyDescent="0.3">
      <c r="A33" s="1709"/>
      <c r="B33" s="1710" t="s">
        <v>1081</v>
      </c>
      <c r="C33" s="1711"/>
      <c r="D33" s="2"/>
      <c r="E33" s="2"/>
      <c r="F33" s="2"/>
      <c r="G33" s="2"/>
      <c r="H33" s="2"/>
      <c r="I33" s="2"/>
    </row>
    <row r="34" spans="1:9" ht="45.75" thickBot="1" x14ac:dyDescent="0.3">
      <c r="A34" s="2275"/>
      <c r="B34" s="1712" t="s">
        <v>1015</v>
      </c>
      <c r="C34" s="1713" t="s">
        <v>571</v>
      </c>
      <c r="D34" s="2"/>
      <c r="E34" s="2"/>
      <c r="F34" s="2"/>
      <c r="G34" s="2"/>
      <c r="H34" s="2"/>
      <c r="I34" s="2"/>
    </row>
    <row r="35" spans="1:9" ht="15.75" thickBot="1" x14ac:dyDescent="0.3"/>
    <row r="36" spans="1:9" ht="15.75" thickBot="1" x14ac:dyDescent="0.3">
      <c r="A36" s="608"/>
      <c r="B36" s="609" t="s">
        <v>563</v>
      </c>
      <c r="C36" s="610" t="s">
        <v>215</v>
      </c>
    </row>
    <row r="37" spans="1:9" x14ac:dyDescent="0.25">
      <c r="A37" s="618"/>
      <c r="B37" s="615" t="s">
        <v>562</v>
      </c>
      <c r="C37" s="611"/>
    </row>
    <row r="38" spans="1:9" x14ac:dyDescent="0.25">
      <c r="A38" s="192"/>
      <c r="B38" s="616" t="s">
        <v>633</v>
      </c>
      <c r="C38" s="441"/>
    </row>
    <row r="39" spans="1:9" x14ac:dyDescent="0.25">
      <c r="A39" s="192"/>
      <c r="B39" s="616" t="s">
        <v>574</v>
      </c>
      <c r="C39" s="441"/>
    </row>
    <row r="40" spans="1:9" x14ac:dyDescent="0.25">
      <c r="A40" s="192"/>
      <c r="B40" s="616" t="s">
        <v>1016</v>
      </c>
      <c r="C40" s="441"/>
    </row>
    <row r="41" spans="1:9" x14ac:dyDescent="0.25">
      <c r="A41" s="192"/>
      <c r="B41" s="616" t="s">
        <v>1017</v>
      </c>
      <c r="C41" s="441"/>
    </row>
    <row r="42" spans="1:9" ht="15.75" thickBot="1" x14ac:dyDescent="0.3">
      <c r="A42" s="8"/>
      <c r="B42" s="617" t="s">
        <v>1018</v>
      </c>
      <c r="C42" s="466"/>
    </row>
    <row r="43" spans="1:9" ht="15.75" thickBot="1" x14ac:dyDescent="0.3"/>
    <row r="44" spans="1:9" ht="19.5" thickBot="1" x14ac:dyDescent="0.35">
      <c r="A44" s="624"/>
      <c r="B44" s="622" t="s">
        <v>564</v>
      </c>
      <c r="C44" s="623"/>
    </row>
    <row r="45" spans="1:9" ht="28.9" customHeight="1" x14ac:dyDescent="0.25">
      <c r="A45" s="627" t="s">
        <v>569</v>
      </c>
      <c r="B45" s="2602" t="s">
        <v>1019</v>
      </c>
      <c r="C45" s="2603"/>
    </row>
    <row r="46" spans="1:9" ht="28.9" customHeight="1" thickBot="1" x14ac:dyDescent="0.3">
      <c r="A46" s="628" t="s">
        <v>568</v>
      </c>
      <c r="B46" s="2604" t="s">
        <v>565</v>
      </c>
      <c r="C46" s="2605"/>
    </row>
    <row r="47" spans="1:9" ht="15.75" thickBot="1" x14ac:dyDescent="0.3"/>
    <row r="48" spans="1:9" ht="19.5" thickBot="1" x14ac:dyDescent="0.35">
      <c r="A48" s="629"/>
      <c r="B48" s="625" t="s">
        <v>566</v>
      </c>
      <c r="C48" s="626"/>
    </row>
    <row r="49" spans="1:3" ht="37.15" customHeight="1" thickBot="1" x14ac:dyDescent="0.35">
      <c r="A49" s="630" t="s">
        <v>567</v>
      </c>
      <c r="B49" s="2606" t="s">
        <v>1082</v>
      </c>
      <c r="C49" s="2607"/>
    </row>
    <row r="50" spans="1:3" ht="15.75" thickBot="1" x14ac:dyDescent="0.3"/>
    <row r="51" spans="1:3" ht="19.5" thickBot="1" x14ac:dyDescent="0.35">
      <c r="A51" s="1669"/>
      <c r="B51" s="2610" t="s">
        <v>579</v>
      </c>
      <c r="C51" s="2611"/>
    </row>
    <row r="52" spans="1:3" ht="54.95" customHeight="1" thickBot="1" x14ac:dyDescent="0.3">
      <c r="A52" s="630" t="s">
        <v>567</v>
      </c>
      <c r="B52" s="2608" t="s">
        <v>941</v>
      </c>
      <c r="C52" s="2609"/>
    </row>
  </sheetData>
  <sheetProtection algorithmName="SHA-512" hashValue="YZqzpc/EMQDe1RBbMibqGQ8cAigOFvFaexVLmwOJYKn82NM8ECAwkur96RzclGuFc2Mwh1ZNmnNZS2wl5eSwVA==" saltValue="oV6nje7oG/aCV0Mp86Y35A==" spinCount="100000" sheet="1" objects="1" scenarios="1"/>
  <mergeCells count="6">
    <mergeCell ref="A29:A30"/>
    <mergeCell ref="B45:C45"/>
    <mergeCell ref="B46:C46"/>
    <mergeCell ref="B49:C49"/>
    <mergeCell ref="B52:C52"/>
    <mergeCell ref="B51:C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B0F0"/>
  </sheetPr>
  <dimension ref="A1:I671"/>
  <sheetViews>
    <sheetView showGridLines="0" zoomScale="90" zoomScaleNormal="90" workbookViewId="0">
      <pane xSplit="1" ySplit="2" topLeftCell="B265" activePane="bottomRight" state="frozen"/>
      <selection pane="topRight" activeCell="C1" sqref="C1"/>
      <selection pane="bottomLeft" activeCell="A5" sqref="A5"/>
      <selection pane="bottomRight" activeCell="E277" sqref="E277"/>
    </sheetView>
  </sheetViews>
  <sheetFormatPr defaultColWidth="9.140625" defaultRowHeight="15" outlineLevelRow="1" x14ac:dyDescent="0.25"/>
  <cols>
    <col min="1" max="1" width="9.140625" style="3"/>
    <col min="2" max="2" width="82.7109375" style="53" customWidth="1"/>
    <col min="3" max="3" width="3.85546875" style="3" bestFit="1" customWidth="1"/>
    <col min="4" max="7" width="20.7109375" style="156" customWidth="1"/>
    <col min="8" max="8" width="70.7109375" style="94" customWidth="1"/>
    <col min="9" max="9" width="9.140625" style="18"/>
    <col min="10" max="16384" width="9.140625" style="1"/>
  </cols>
  <sheetData>
    <row r="1" spans="1:9" ht="24" thickBot="1" x14ac:dyDescent="0.3">
      <c r="B1" s="2070" t="s">
        <v>919</v>
      </c>
      <c r="D1" s="470" t="str">
        <f>Basisgegevens!P179</f>
        <v>--</v>
      </c>
      <c r="F1" s="470" t="str">
        <f>Basisgegevens!Q179</f>
        <v>--</v>
      </c>
      <c r="I1" s="18">
        <v>1</v>
      </c>
    </row>
    <row r="2" spans="1:9" s="157" customFormat="1" ht="16.5" thickBot="1" x14ac:dyDescent="0.3">
      <c r="A2" s="2071" t="s">
        <v>821</v>
      </c>
      <c r="B2" s="393" t="s">
        <v>231</v>
      </c>
      <c r="C2" s="951" t="s">
        <v>214</v>
      </c>
      <c r="D2" s="949" t="str">
        <f>BGPartnerAP</f>
        <v>AP</v>
      </c>
      <c r="E2" s="963" t="s">
        <v>4</v>
      </c>
      <c r="F2" s="949" t="str">
        <f>BGPartnerAG</f>
        <v>AG</v>
      </c>
      <c r="G2" s="949" t="s">
        <v>4</v>
      </c>
      <c r="H2" s="1790" t="s">
        <v>213</v>
      </c>
      <c r="I2" s="2411" t="s">
        <v>820</v>
      </c>
    </row>
    <row r="3" spans="1:9" ht="15.75" thickBot="1" x14ac:dyDescent="0.3">
      <c r="A3" s="1890"/>
      <c r="B3" s="115"/>
      <c r="C3" s="1891"/>
      <c r="D3" s="1865"/>
      <c r="E3" s="966"/>
      <c r="F3" s="1865"/>
      <c r="G3" s="966"/>
      <c r="H3" s="1828"/>
      <c r="I3" s="169">
        <v>3</v>
      </c>
    </row>
    <row r="4" spans="1:9" ht="21.75" thickBot="1" x14ac:dyDescent="0.3">
      <c r="A4" s="1481"/>
      <c r="B4" s="165" t="s">
        <v>232</v>
      </c>
      <c r="C4" s="198"/>
      <c r="D4" s="910"/>
      <c r="E4" s="934"/>
      <c r="F4" s="910"/>
      <c r="G4" s="910"/>
      <c r="H4" s="1791"/>
      <c r="I4" s="2412">
        <v>4</v>
      </c>
    </row>
    <row r="5" spans="1:9" ht="19.5" thickBot="1" x14ac:dyDescent="0.3">
      <c r="A5" s="1499"/>
      <c r="B5" s="1232" t="s">
        <v>299</v>
      </c>
      <c r="C5" s="1785"/>
      <c r="D5" s="1233"/>
      <c r="E5" s="1234"/>
      <c r="F5" s="1233"/>
      <c r="G5" s="1233"/>
      <c r="H5" s="1792"/>
      <c r="I5" s="2413">
        <v>5</v>
      </c>
    </row>
    <row r="6" spans="1:9" ht="45" outlineLevel="1" x14ac:dyDescent="0.25">
      <c r="A6" s="1593">
        <v>41</v>
      </c>
      <c r="B6" s="86" t="s">
        <v>952</v>
      </c>
      <c r="C6" s="199" t="s">
        <v>77</v>
      </c>
      <c r="D6" s="1040">
        <f>IF(AND(BG60Jaaropgave1_AP&lt;&gt;0,BG60Jaaropgave2_AP&lt;&gt;0),"zie jaarloon (60)",IF(AND(BG60Jaaropgave1_AP&lt;&gt;0,BG60Jaaropgave2_AP=0),Basisgegevens!D59,IF(AND(BG60Jaaropgave1_AP=0,BG60Jaaropgave2_AP&lt;&gt;0),Basisgegevens!D43,Basisgegevens!D43+Basisgegevens!D59)))</f>
        <v>0</v>
      </c>
      <c r="E6" s="2624" t="s">
        <v>269</v>
      </c>
      <c r="F6" s="311">
        <f>IF(AND(BG60Jaaropgave1_AG&lt;&gt;0,BG60Jaaropgave2_AG&lt;&gt;0),"zie jaarloon (60)",IF(AND(BG60Jaaropgave1_AG&lt;&gt;0,BG60Jaaropgave2_AG=0),Basisgegevens!F59,IF(AND(BG60Jaaropgave1_AG=0,BG60Jaaropgave2_AG&lt;&gt;0),Basisgegevens!F43,Basisgegevens!F43+Basisgegevens!F59)))</f>
        <v>0</v>
      </c>
      <c r="G6" s="2624" t="s">
        <v>269</v>
      </c>
      <c r="H6" s="1793" t="s">
        <v>362</v>
      </c>
      <c r="I6" s="28">
        <v>6</v>
      </c>
    </row>
    <row r="7" spans="1:9" ht="30" customHeight="1" outlineLevel="1" x14ac:dyDescent="0.25">
      <c r="A7" s="84">
        <v>44</v>
      </c>
      <c r="B7" s="87" t="s">
        <v>846</v>
      </c>
      <c r="C7" s="200" t="s">
        <v>77</v>
      </c>
      <c r="D7" s="918">
        <f>IF(AND(BG60Jaaropgave1_AP&lt;&gt;0,BG60Jaaropgave2_AP&lt;&gt;0),"zie jaarloon (60)",IF(AND(BG60Jaaropgave1_AP&lt;&gt;0,BG60Jaaropgave2_AP=0),Basisgegevens!D61,IF(AND(BG60Jaaropgave1_AP=0,BG60Jaaropgave2_AP&lt;&gt;0),Basisgegevens!D45,Basisgegevens!D45+Basisgegevens!D61)))</f>
        <v>0</v>
      </c>
      <c r="E7" s="2616"/>
      <c r="F7" s="312">
        <f>IF(AND(BG60Jaaropgave1_AG&lt;&gt;0,BG60Jaaropgave2_AG&lt;&gt;0),"zie jaarloon (60)",IF(AND(BG60Jaaropgave1_AG&lt;&gt;0,BG60Jaaropgave2_AG=0),SUM(Basisgegevens!F61+Basisgegevens!F130),IF(AND(BG60Jaaropgave1_AG=0,BG60Jaaropgave2_AG&lt;&gt;0),SUM(Basisgegevens!F45+Basisgegevens!F130),Basisgegevens!F45+Basisgegevens!F61)))</f>
        <v>0</v>
      </c>
      <c r="G7" s="2616"/>
      <c r="H7" s="1794" t="s">
        <v>168</v>
      </c>
      <c r="I7" s="69">
        <v>7</v>
      </c>
    </row>
    <row r="8" spans="1:9" ht="30" outlineLevel="1" x14ac:dyDescent="0.25">
      <c r="A8" s="84">
        <v>46</v>
      </c>
      <c r="B8" s="87" t="s">
        <v>361</v>
      </c>
      <c r="C8" s="200" t="s">
        <v>77</v>
      </c>
      <c r="D8" s="918">
        <f>IF(AND(BG60Jaaropgave1_AP&lt;&gt;0,BG60Jaaropgave2_AP&lt;&gt;0),"zie jaarloon (60)",IF(AND(BG60Jaaropgave1_AP&lt;&gt;0,BG60Jaaropgave2_AP=0),Basisgegevens!D60,IF(AND(BG60Jaaropgave1_AP=0,BG60Jaaropgave2_AP&lt;&gt;0),Basisgegevens!D44,Basisgegevens!D44+Basisgegevens!D60)))</f>
        <v>0</v>
      </c>
      <c r="E8" s="2616"/>
      <c r="F8" s="312">
        <f>IF(AND(BG60Jaaropgave1_AG&lt;&gt;0,BG60Jaaropgave2_AG&lt;&gt;0),"zie jaarloon (60)",IF(AND(BG60Jaaropgave1_AG&lt;&gt;0,BG60Jaaropgave2_AG=0),Basisgegevens!F60,IF(AND(BG60Jaaropgave1_AG=0,BG60Jaaropgave2_AG&lt;&gt;0),Basisgegevens!F44,Basisgegevens!F44+Basisgegevens!F60)))</f>
        <v>0</v>
      </c>
      <c r="G8" s="2616"/>
      <c r="H8" s="1794" t="s">
        <v>165</v>
      </c>
      <c r="I8" s="69">
        <v>8</v>
      </c>
    </row>
    <row r="9" spans="1:9" outlineLevel="1" x14ac:dyDescent="0.25">
      <c r="A9" s="84">
        <v>47</v>
      </c>
      <c r="B9" s="87" t="s">
        <v>60</v>
      </c>
      <c r="C9" s="200" t="s">
        <v>77</v>
      </c>
      <c r="D9" s="918">
        <f>IF(AND(BG60Jaaropgave1_AP&lt;&gt;0,BG60Jaaropgave2_AP&lt;&gt;0),"zie jaarloon (60)",IF(AND(BG60Jaaropgave1_AP&lt;&gt;0,BG60Jaaropgave2_AP=0),Basisgegevens!D63,IF(AND(BG60Jaaropgave1_AP=0,BG60Jaaropgave2_AP&lt;&gt;0),Basisgegevens!D47,Basisgegevens!D47+Basisgegevens!D63)))</f>
        <v>0</v>
      </c>
      <c r="E9" s="2616"/>
      <c r="F9" s="312">
        <f>IF(AND(BG60Jaaropgave1_AG&lt;&gt;0,BG60Jaaropgave2_AG&lt;&gt;0),"zie jaarloon (60)",IF(AND(BG60Jaaropgave1_AG&lt;&gt;0,BG60Jaaropgave2_AG=0),Basisgegevens!F63,IF(AND(BG60Jaaropgave1_AG=0,BG60Jaaropgave2_AG&lt;&gt;0),Basisgegevens!F47,Basisgegevens!F47+Basisgegevens!F63)))</f>
        <v>0</v>
      </c>
      <c r="G9" s="2616"/>
      <c r="H9" s="1794"/>
      <c r="I9" s="69">
        <v>9</v>
      </c>
    </row>
    <row r="10" spans="1:9" ht="30" outlineLevel="1" x14ac:dyDescent="0.25">
      <c r="A10" s="84">
        <v>48</v>
      </c>
      <c r="B10" s="87" t="s">
        <v>1044</v>
      </c>
      <c r="C10" s="200" t="s">
        <v>77</v>
      </c>
      <c r="D10" s="918">
        <f>IF(AND(BG60Jaaropgave1_AP&lt;&gt;0,BG60Jaaropgave2_AP&lt;&gt;0),"zie jaarloon (60)",IF(AND(BG60Jaaropgave1_AP&lt;&gt;0,BG60Jaaropgave2_AP=0),Basisgegevens!D64,IF(AND(BG60Jaaropgave1_AP=0,BG60Jaaropgave2_AP&lt;&gt;0),Basisgegevens!D48,Basisgegevens!D48+Basisgegevens!D64)))</f>
        <v>0</v>
      </c>
      <c r="E10" s="2616"/>
      <c r="F10" s="918">
        <f>IF(AND(BG60Jaaropgave1_AG&lt;&gt;0,BG60Jaaropgave2_AG&lt;&gt;0),"zie jaarloon (60)",IF(AND(BG60Jaaropgave1_AG&lt;&gt;0,BG60Jaaropgave2_AG=0),Basisgegevens!F64,IF(AND(BG60Jaaropgave1_AG=0,BG60Jaaropgave2_AG&lt;&gt;0),Basisgegevens!F48,Basisgegevens!F48+Basisgegevens!F64)))</f>
        <v>0</v>
      </c>
      <c r="G10" s="2616"/>
      <c r="H10" s="1794" t="s">
        <v>167</v>
      </c>
      <c r="I10" s="69">
        <v>10</v>
      </c>
    </row>
    <row r="11" spans="1:9" ht="15.75" outlineLevel="1" thickBot="1" x14ac:dyDescent="0.3">
      <c r="A11" s="158" t="s">
        <v>706</v>
      </c>
      <c r="B11" s="97" t="s">
        <v>708</v>
      </c>
      <c r="C11" s="208" t="s">
        <v>77</v>
      </c>
      <c r="D11" s="1330">
        <f>IF(AND(BG60Jaaropgave1_AP&lt;&gt;0,BG60Jaaropgave2_AP&lt;&gt;0),"zie jaarloon (60)",IF(AND(BG60Jaaropgave1_AP&lt;&gt;0,BG60Jaaropgave2_AP=0),Basisgegevens!D65+Basisgegevens!D66,IF(AND(BG60Jaaropgave1_AP=0,BG60Jaaropgave2_AP&lt;&gt;0),Basisgegevens!D49+Basisgegevens!D50,Basisgegevens!D49+Basisgegevens!D50+Basisgegevens!D65+Basisgegevens!D66)))</f>
        <v>0</v>
      </c>
      <c r="E11" s="2616"/>
      <c r="F11" s="1330">
        <f>IF(AND(BG60Jaaropgave1_AG&lt;&gt;0,BG60Jaaropgave2_AG&lt;&gt;0),"zie jaarloon (60)",IF(AND(BG60Jaaropgave1_AG&lt;&gt;0,BG60Jaaropgave2_AG=0),Basisgegevens!F65+Basisgegevens!F66,IF(AND(BG60Jaaropgave1_AG=0,BG60Jaaropgave2_AG&lt;&gt;0),Basisgegevens!F49+Basisgegevens!F50,Basisgegevens!F49+Basisgegevens!F50+Basisgegevens!F65+Basisgegevens!F66)))</f>
        <v>0</v>
      </c>
      <c r="G11" s="2616"/>
      <c r="H11" s="1795" t="s">
        <v>707</v>
      </c>
      <c r="I11" s="174">
        <v>11</v>
      </c>
    </row>
    <row r="12" spans="1:9" ht="15.75" outlineLevel="1" thickBot="1" x14ac:dyDescent="0.3">
      <c r="A12" s="1780"/>
      <c r="B12" s="1786" t="s">
        <v>953</v>
      </c>
      <c r="C12" s="1364"/>
      <c r="D12" s="1365">
        <f>BG41eaArbeidsloon_AP</f>
        <v>0</v>
      </c>
      <c r="E12" s="2616"/>
      <c r="F12" s="1365">
        <f>BG41eaArbeidsloon_AG</f>
        <v>0</v>
      </c>
      <c r="G12" s="2616"/>
      <c r="H12" s="1779"/>
      <c r="I12" s="2093">
        <v>12</v>
      </c>
    </row>
    <row r="13" spans="1:9" ht="90.75" outlineLevel="1" thickBot="1" x14ac:dyDescent="0.3">
      <c r="A13" s="1716" t="s">
        <v>898</v>
      </c>
      <c r="B13" s="1717" t="s">
        <v>917</v>
      </c>
      <c r="C13" s="1362"/>
      <c r="D13" s="243" t="s">
        <v>110</v>
      </c>
      <c r="E13" s="2617"/>
      <c r="F13" s="243" t="s">
        <v>110</v>
      </c>
      <c r="G13" s="2617"/>
      <c r="H13" s="1778" t="str">
        <f>"Een DGA is wel/niet niet verzekerd voor de werknemersverzekeringen. Indien de DGA niet verzekerd is moet er een eigen bijdrage ZVW (lage percentage) a "&amp;BGZVWPremie*100&amp;"% ingehouden worden op het nettoloon. 
Of een DGA als werknemer voor de werknemersverzekeringen wordt beschouwd hangt af van de zeggenschap in de BV. 
==&gt; Check de voorwaarden voordat er Ja wordt ingevuld!"</f>
        <v>Een DGA is wel/niet niet verzekerd voor de werknemersverzekeringen. Indien de DGA niet verzekerd is moet er een eigen bijdrage ZVW (lage percentage) a 5,43% ingehouden worden op het nettoloon. 
Of een DGA als werknemer voor de werknemersverzekeringen wordt beschouwd hangt af van de zeggenschap in de BV. 
==&gt; Check de voorwaarden voordat er Ja wordt ingevuld!</v>
      </c>
      <c r="I13" s="2414">
        <v>13</v>
      </c>
    </row>
    <row r="14" spans="1:9" ht="15.75" thickBot="1" x14ac:dyDescent="0.3">
      <c r="A14" s="1890"/>
      <c r="B14" s="115"/>
      <c r="C14" s="1891"/>
      <c r="D14" s="1865"/>
      <c r="E14" s="966"/>
      <c r="F14" s="1865"/>
      <c r="G14" s="966"/>
      <c r="H14" s="1828"/>
      <c r="I14" s="169">
        <v>14</v>
      </c>
    </row>
    <row r="15" spans="1:9" outlineLevel="1" x14ac:dyDescent="0.25">
      <c r="A15" s="1593">
        <v>42</v>
      </c>
      <c r="B15" s="86" t="s">
        <v>845</v>
      </c>
      <c r="C15" s="199" t="s">
        <v>77</v>
      </c>
      <c r="D15" s="1040">
        <f>BG42AOWuitkering_AP</f>
        <v>0</v>
      </c>
      <c r="E15" s="2625" t="s">
        <v>783</v>
      </c>
      <c r="F15" s="1040">
        <f>BG42AOWuitkering_AG</f>
        <v>0</v>
      </c>
      <c r="G15" s="2625" t="s">
        <v>783</v>
      </c>
      <c r="H15" s="1796" t="s">
        <v>169</v>
      </c>
      <c r="I15" s="28">
        <v>15</v>
      </c>
    </row>
    <row r="16" spans="1:9" ht="15" customHeight="1" outlineLevel="1" x14ac:dyDescent="0.25">
      <c r="A16" s="84">
        <v>43</v>
      </c>
      <c r="B16" s="87" t="s">
        <v>903</v>
      </c>
      <c r="C16" s="200" t="s">
        <v>77</v>
      </c>
      <c r="D16" s="918">
        <f>BG43SocVerzWet_AP</f>
        <v>0</v>
      </c>
      <c r="E16" s="2626"/>
      <c r="F16" s="918">
        <f>BG43SocVerzWet_AG</f>
        <v>0</v>
      </c>
      <c r="G16" s="2626"/>
      <c r="H16" s="1794" t="s">
        <v>902</v>
      </c>
      <c r="I16" s="69">
        <v>16</v>
      </c>
    </row>
    <row r="17" spans="1:9" ht="45" outlineLevel="1" x14ac:dyDescent="0.25">
      <c r="A17" s="84">
        <v>45</v>
      </c>
      <c r="B17" s="87" t="s">
        <v>847</v>
      </c>
      <c r="C17" s="200" t="s">
        <v>77</v>
      </c>
      <c r="D17" s="918">
        <f>IF(Basisgegevens!D81&gt;0,Basisgegevens!D81,Basisgegevens!D79)</f>
        <v>0</v>
      </c>
      <c r="E17" s="2626"/>
      <c r="F17" s="918">
        <f>IF(Basisgegevens!F81&gt;0,Basisgegevens!F81,Basisgegevens!F79)</f>
        <v>0</v>
      </c>
      <c r="G17" s="2626"/>
      <c r="H17" s="1794" t="s">
        <v>196</v>
      </c>
      <c r="I17" s="69">
        <v>17</v>
      </c>
    </row>
    <row r="18" spans="1:9" ht="30" outlineLevel="1" x14ac:dyDescent="0.25">
      <c r="A18" s="84">
        <v>49</v>
      </c>
      <c r="B18" s="87" t="s">
        <v>790</v>
      </c>
      <c r="C18" s="200" t="s">
        <v>77</v>
      </c>
      <c r="D18" s="313">
        <v>0</v>
      </c>
      <c r="E18" s="2626"/>
      <c r="F18" s="313">
        <v>0</v>
      </c>
      <c r="G18" s="2626"/>
      <c r="H18" s="1794" t="s">
        <v>789</v>
      </c>
      <c r="I18" s="69">
        <v>18</v>
      </c>
    </row>
    <row r="19" spans="1:9" ht="30" outlineLevel="1" x14ac:dyDescent="0.25">
      <c r="A19" s="84">
        <v>49</v>
      </c>
      <c r="B19" s="87" t="s">
        <v>61</v>
      </c>
      <c r="C19" s="200" t="s">
        <v>77</v>
      </c>
      <c r="D19" s="918">
        <f>Basisgegevens!D107</f>
        <v>0</v>
      </c>
      <c r="E19" s="2626"/>
      <c r="F19" s="312">
        <f>Basisgegevens!F107</f>
        <v>0</v>
      </c>
      <c r="G19" s="2626"/>
      <c r="H19" s="1794" t="s">
        <v>166</v>
      </c>
      <c r="I19" s="69">
        <v>19</v>
      </c>
    </row>
    <row r="20" spans="1:9" ht="15.75" outlineLevel="1" thickBot="1" x14ac:dyDescent="0.3">
      <c r="A20" s="85">
        <v>50</v>
      </c>
      <c r="B20" s="88" t="s">
        <v>62</v>
      </c>
      <c r="C20" s="201" t="s">
        <v>77</v>
      </c>
      <c r="D20" s="1134">
        <f>BG50BrutoPensioen_AP</f>
        <v>0</v>
      </c>
      <c r="E20" s="2627"/>
      <c r="F20" s="1134">
        <f>BG50BrutoPensioen_AG</f>
        <v>0</v>
      </c>
      <c r="G20" s="2627"/>
      <c r="H20" s="1797" t="s">
        <v>170</v>
      </c>
      <c r="I20" s="30">
        <v>20</v>
      </c>
    </row>
    <row r="21" spans="1:9" ht="16.5" thickBot="1" x14ac:dyDescent="0.3">
      <c r="A21" s="1505" t="s">
        <v>765</v>
      </c>
      <c r="B21" s="1892" t="s">
        <v>764</v>
      </c>
      <c r="C21" s="1858"/>
      <c r="D21" s="1346">
        <f>SUM(D12:D20)</f>
        <v>0</v>
      </c>
      <c r="E21" s="1893">
        <f>D21</f>
        <v>0</v>
      </c>
      <c r="F21" s="1346">
        <f>SUM(F12:F20)</f>
        <v>0</v>
      </c>
      <c r="G21" s="1859">
        <f>F21</f>
        <v>0</v>
      </c>
      <c r="H21" s="1894" t="s">
        <v>164</v>
      </c>
      <c r="I21" s="2415">
        <v>21</v>
      </c>
    </row>
    <row r="22" spans="1:9" x14ac:dyDescent="0.25">
      <c r="A22" s="1896"/>
      <c r="B22" s="1781"/>
      <c r="C22" s="1897"/>
      <c r="D22" s="1898"/>
      <c r="E22" s="1224"/>
      <c r="F22" s="1898"/>
      <c r="G22" s="1224"/>
      <c r="H22" s="1818"/>
      <c r="I22" s="1253">
        <v>22</v>
      </c>
    </row>
    <row r="23" spans="1:9" ht="16.5" thickBot="1" x14ac:dyDescent="0.3">
      <c r="A23" s="1899"/>
      <c r="B23" s="1900" t="s">
        <v>825</v>
      </c>
      <c r="C23" s="1901"/>
      <c r="D23" s="1902"/>
      <c r="E23" s="967"/>
      <c r="F23" s="1902"/>
      <c r="G23" s="967"/>
      <c r="H23" s="1804"/>
      <c r="I23" s="359">
        <v>23</v>
      </c>
    </row>
    <row r="24" spans="1:9" x14ac:dyDescent="0.25">
      <c r="A24" s="1484"/>
      <c r="B24" s="1895" t="str">
        <f>Basisgegevens!B27</f>
        <v>Bijtelling volgens salarisstrook</v>
      </c>
      <c r="C24" s="202" t="s">
        <v>77</v>
      </c>
      <c r="D24" s="925">
        <f>Basisgegevens!D27</f>
        <v>0</v>
      </c>
      <c r="E24" s="2630" t="s">
        <v>269</v>
      </c>
      <c r="F24" s="925">
        <f>Basisgegevens!F27</f>
        <v>0</v>
      </c>
      <c r="G24" s="2633" t="s">
        <v>269</v>
      </c>
      <c r="H24" s="1840"/>
      <c r="I24" s="70">
        <v>24</v>
      </c>
    </row>
    <row r="25" spans="1:9" ht="15.75" thickBot="1" x14ac:dyDescent="0.3">
      <c r="A25" s="1485"/>
      <c r="B25" s="281" t="str">
        <f>Basisgegevens!B28</f>
        <v>Eigen bijdrage</v>
      </c>
      <c r="C25" s="200" t="s">
        <v>72</v>
      </c>
      <c r="D25" s="312">
        <f>Basisgegevens!D28</f>
        <v>0</v>
      </c>
      <c r="E25" s="2631"/>
      <c r="F25" s="312">
        <f>Basisgegevens!F28</f>
        <v>0</v>
      </c>
      <c r="G25" s="2634"/>
      <c r="H25" s="1801"/>
      <c r="I25" s="69">
        <v>25</v>
      </c>
    </row>
    <row r="26" spans="1:9" ht="15.75" thickBot="1" x14ac:dyDescent="0.3">
      <c r="A26" s="1486"/>
      <c r="B26" s="452" t="str">
        <f>Basisgegevens!B29</f>
        <v>Bijtelling auto van de zaak</v>
      </c>
      <c r="C26" s="199" t="s">
        <v>77</v>
      </c>
      <c r="D26" s="314">
        <f>Basisgegevens!D29</f>
        <v>0</v>
      </c>
      <c r="E26" s="2632"/>
      <c r="F26" s="314">
        <f>Basisgegevens!F29</f>
        <v>0</v>
      </c>
      <c r="G26" s="2635"/>
      <c r="H26" s="1802"/>
      <c r="I26" s="30">
        <v>26</v>
      </c>
    </row>
    <row r="27" spans="1:9" ht="15.75" thickBot="1" x14ac:dyDescent="0.3">
      <c r="A27" s="1238"/>
      <c r="B27" s="1903"/>
      <c r="C27" s="1754"/>
      <c r="D27" s="1346">
        <f>AL41_50BrutoInkomen_AP+D26</f>
        <v>0</v>
      </c>
      <c r="E27" s="1224"/>
      <c r="F27" s="1346">
        <f>AL41_50BrutoInkomen_AG+F26</f>
        <v>0</v>
      </c>
      <c r="G27" s="1225"/>
      <c r="H27" s="1904"/>
      <c r="I27" s="1253">
        <v>27</v>
      </c>
    </row>
    <row r="28" spans="1:9" ht="15.75" thickBot="1" x14ac:dyDescent="0.3">
      <c r="A28" s="1890"/>
      <c r="B28" s="1912"/>
      <c r="C28" s="1891"/>
      <c r="D28" s="1865"/>
      <c r="E28" s="966"/>
      <c r="F28" s="1865"/>
      <c r="G28" s="966"/>
      <c r="H28" s="1803"/>
      <c r="I28" s="169">
        <v>28</v>
      </c>
    </row>
    <row r="29" spans="1:9" s="104" customFormat="1" ht="19.5" thickBot="1" x14ac:dyDescent="0.3">
      <c r="A29" s="1905"/>
      <c r="B29" s="1906" t="s">
        <v>298</v>
      </c>
      <c r="C29" s="1907"/>
      <c r="D29" s="1908"/>
      <c r="E29" s="1909"/>
      <c r="F29" s="1908"/>
      <c r="G29" s="1910"/>
      <c r="H29" s="1911"/>
      <c r="I29" s="2053">
        <v>29</v>
      </c>
    </row>
    <row r="30" spans="1:9" outlineLevel="1" x14ac:dyDescent="0.25">
      <c r="A30" s="1483">
        <v>51</v>
      </c>
      <c r="B30" s="86" t="s">
        <v>63</v>
      </c>
      <c r="C30" s="199" t="s">
        <v>72</v>
      </c>
      <c r="D30" s="1040">
        <f>IF(Basisgegevens!D108="Zie jaarloon (60)",Basisgegevens!D122+Basisgegevens!D132,Basisgegevens!D108+Basisgegevens!D122+Basisgegevens!D132)</f>
        <v>0</v>
      </c>
      <c r="E30" s="1384" t="s">
        <v>269</v>
      </c>
      <c r="F30" s="1040">
        <f>IF(Basisgegevens!F108="Zie jaarloon (60)",Basisgegevens!F122+Basisgegevens!F132,Basisgegevens!F108+Basisgegevens!F122+Basisgegevens!F132)</f>
        <v>0</v>
      </c>
      <c r="G30" s="1213" t="s">
        <v>269</v>
      </c>
      <c r="H30" s="1758" t="s">
        <v>171</v>
      </c>
      <c r="I30" s="28">
        <v>30</v>
      </c>
    </row>
    <row r="31" spans="1:9" ht="45" outlineLevel="1" x14ac:dyDescent="0.25">
      <c r="A31" s="1485" t="s">
        <v>951</v>
      </c>
      <c r="B31" s="87" t="str">
        <f>"Premie vrijwillige nettopensioensregeling voor inkomens hoger dan € "&amp;Basisgegevens!C215&amp;
" (De bruto inkomsten zijn: € "&amp;ROUND(D12,0)&amp;" / € "&amp;ROUND(F12,0)&amp;", de afgedragen premie komt terug bij 119b)"</f>
        <v>Premie vrijwillige nettopensioensregeling voor inkomens hoger dan € 128810 (De bruto inkomsten zijn: € 0 / € 0, de afgedragen premie komt terug bij 119b)</v>
      </c>
      <c r="C31" s="200"/>
      <c r="D31" s="1360"/>
      <c r="E31" s="313">
        <v>0</v>
      </c>
      <c r="F31" s="1360"/>
      <c r="G31" s="313">
        <v>0</v>
      </c>
      <c r="H31" s="1806" t="str">
        <f>"Bij een pensioengevend salaris wordt er boven de € "&amp;Basisgegevens!C215&amp;" geen pensioen opgebouwd. De netto pensioenregeling is een vrijwillige regeling waarmee het pensioen daarboven opgebouwd wordt."</f>
        <v>Bij een pensioengevend salaris wordt er boven de € 128810 geen pensioen opgebouwd. De netto pensioenregeling is een vrijwillige regeling waarmee het pensioen daarboven opgebouwd wordt.</v>
      </c>
      <c r="I31" s="69">
        <v>31</v>
      </c>
    </row>
    <row r="32" spans="1:9" outlineLevel="1" x14ac:dyDescent="0.25">
      <c r="A32" s="1485">
        <v>52</v>
      </c>
      <c r="B32" s="87" t="s">
        <v>64</v>
      </c>
      <c r="C32" s="200" t="s">
        <v>72</v>
      </c>
      <c r="D32" s="918">
        <f>Basisgegevens!D109</f>
        <v>0</v>
      </c>
      <c r="E32" s="2638" t="s">
        <v>269</v>
      </c>
      <c r="F32" s="312">
        <f>Basisgegevens!F109</f>
        <v>0</v>
      </c>
      <c r="G32" s="2638" t="s">
        <v>269</v>
      </c>
      <c r="H32" s="1806"/>
      <c r="I32" s="69">
        <v>32</v>
      </c>
    </row>
    <row r="33" spans="1:9" ht="30.75" outlineLevel="1" thickBot="1" x14ac:dyDescent="0.3">
      <c r="A33" s="1486">
        <v>53</v>
      </c>
      <c r="B33" s="88" t="s">
        <v>67</v>
      </c>
      <c r="C33" s="201" t="s">
        <v>72</v>
      </c>
      <c r="D33" s="1134">
        <f>Basisgegevens!D110</f>
        <v>0</v>
      </c>
      <c r="E33" s="2639"/>
      <c r="F33" s="314">
        <f>Basisgegevens!F110</f>
        <v>0</v>
      </c>
      <c r="G33" s="2639"/>
      <c r="H33" s="1759" t="s">
        <v>162</v>
      </c>
      <c r="I33" s="30">
        <v>33</v>
      </c>
    </row>
    <row r="34" spans="1:9" ht="16.5" thickBot="1" x14ac:dyDescent="0.3">
      <c r="A34" s="1505">
        <v>54</v>
      </c>
      <c r="B34" s="1892" t="s">
        <v>300</v>
      </c>
      <c r="C34" s="1913" t="s">
        <v>19</v>
      </c>
      <c r="D34" s="1346">
        <f>AL41_50BrutoInkomen_AP-SUM(D30:D33)</f>
        <v>0</v>
      </c>
      <c r="E34" s="1893">
        <f>D34</f>
        <v>0</v>
      </c>
      <c r="F34" s="1346">
        <f>AL41_50BrutoInkomen_AG-SUM(F30:F33)</f>
        <v>0</v>
      </c>
      <c r="G34" s="1859">
        <f>F34</f>
        <v>0</v>
      </c>
      <c r="H34" s="1894" t="s">
        <v>163</v>
      </c>
      <c r="I34" s="2415">
        <v>34</v>
      </c>
    </row>
    <row r="35" spans="1:9" outlineLevel="1" x14ac:dyDescent="0.25">
      <c r="A35" s="1896"/>
      <c r="B35" s="1781"/>
      <c r="C35" s="1914"/>
      <c r="D35" s="1898"/>
      <c r="E35" s="1224"/>
      <c r="F35" s="1898"/>
      <c r="G35" s="1224"/>
      <c r="H35" s="1818"/>
      <c r="I35" s="1253">
        <v>35</v>
      </c>
    </row>
    <row r="36" spans="1:9" ht="16.5" outlineLevel="1" thickBot="1" x14ac:dyDescent="0.3">
      <c r="A36" s="1899"/>
      <c r="B36" s="1919" t="s">
        <v>78</v>
      </c>
      <c r="C36" s="1915"/>
      <c r="D36" s="1902"/>
      <c r="E36" s="967"/>
      <c r="F36" s="1902"/>
      <c r="G36" s="967"/>
      <c r="H36" s="2047"/>
      <c r="I36" s="359">
        <v>36</v>
      </c>
    </row>
    <row r="37" spans="1:9" ht="30" outlineLevel="1" x14ac:dyDescent="0.25">
      <c r="A37" s="1484">
        <v>55</v>
      </c>
      <c r="B37" s="89" t="s">
        <v>65</v>
      </c>
      <c r="C37" s="202" t="s">
        <v>72</v>
      </c>
      <c r="D37" s="1222">
        <f>Basisgegevens!D113</f>
        <v>0</v>
      </c>
      <c r="E37" s="2630" t="s">
        <v>269</v>
      </c>
      <c r="F37" s="1222">
        <f>Basisgegevens!F113</f>
        <v>0</v>
      </c>
      <c r="G37" s="2633" t="s">
        <v>269</v>
      </c>
      <c r="H37" s="1817" t="s">
        <v>160</v>
      </c>
      <c r="I37" s="70">
        <v>37</v>
      </c>
    </row>
    <row r="38" spans="1:9" ht="30.75" outlineLevel="1" thickBot="1" x14ac:dyDescent="0.3">
      <c r="A38" s="1488">
        <v>56</v>
      </c>
      <c r="B38" s="97" t="s">
        <v>66</v>
      </c>
      <c r="C38" s="208" t="s">
        <v>72</v>
      </c>
      <c r="D38" s="927">
        <f>Basisgegevens!D112</f>
        <v>0</v>
      </c>
      <c r="E38" s="2636"/>
      <c r="F38" s="927">
        <f>Basisgegevens!F112</f>
        <v>0</v>
      </c>
      <c r="G38" s="2637"/>
      <c r="H38" s="1807" t="s">
        <v>161</v>
      </c>
      <c r="I38" s="174">
        <v>38</v>
      </c>
    </row>
    <row r="39" spans="1:9" outlineLevel="1" x14ac:dyDescent="0.25">
      <c r="A39" s="1896"/>
      <c r="B39" s="1781"/>
      <c r="C39" s="1897"/>
      <c r="D39" s="1898"/>
      <c r="E39" s="1224"/>
      <c r="F39" s="1898"/>
      <c r="G39" s="1224"/>
      <c r="H39" s="1818"/>
      <c r="I39" s="1253">
        <v>39</v>
      </c>
    </row>
    <row r="40" spans="1:9" ht="16.5" outlineLevel="1" thickBot="1" x14ac:dyDescent="0.3">
      <c r="A40" s="1899"/>
      <c r="B40" s="1919" t="s">
        <v>68</v>
      </c>
      <c r="C40" s="1901"/>
      <c r="D40" s="1902"/>
      <c r="E40" s="967"/>
      <c r="F40" s="1902"/>
      <c r="G40" s="967"/>
      <c r="H40" s="2047"/>
      <c r="I40" s="359">
        <v>40</v>
      </c>
    </row>
    <row r="41" spans="1:9" ht="45" outlineLevel="1" x14ac:dyDescent="0.25">
      <c r="A41" s="1484">
        <v>57</v>
      </c>
      <c r="B41" s="89" t="s">
        <v>980</v>
      </c>
      <c r="C41" s="202" t="s">
        <v>72</v>
      </c>
      <c r="D41" s="927">
        <v>0</v>
      </c>
      <c r="E41" s="1916" t="s">
        <v>269</v>
      </c>
      <c r="F41" s="927">
        <v>0</v>
      </c>
      <c r="G41" s="1916" t="s">
        <v>269</v>
      </c>
      <c r="H41" s="1817" t="s">
        <v>174</v>
      </c>
      <c r="I41" s="70">
        <v>41</v>
      </c>
    </row>
    <row r="42" spans="1:9" outlineLevel="1" x14ac:dyDescent="0.25">
      <c r="A42" s="1488" t="s">
        <v>910</v>
      </c>
      <c r="B42" s="97" t="str">
        <f>"Als DGA af te dragen premie ZVW over €"&amp;ROUND(BG41eaArbeidsloon_AP,0)&amp;" (AP) € "&amp;ROUND(BG41eaArbeidsloon_AG,0)&amp;" (AG) (wordt verwerkt bij post 119b)"</f>
        <v>Als DGA af te dragen premie ZVW over €0 (AP) € 0 (AG) (wordt verwerkt bij post 119b)</v>
      </c>
      <c r="C42" s="208"/>
      <c r="D42" s="1379"/>
      <c r="E42" s="1222">
        <f>IF(AL41DGA_AP="Ja",E205,0)</f>
        <v>0</v>
      </c>
      <c r="F42" s="1379"/>
      <c r="G42" s="1222">
        <f>IF(AL41DGA_AG="Ja",G205,0)</f>
        <v>0</v>
      </c>
      <c r="H42" s="1807" t="s">
        <v>1022</v>
      </c>
      <c r="I42" s="174">
        <v>42</v>
      </c>
    </row>
    <row r="43" spans="1:9" ht="30.75" outlineLevel="1" thickBot="1" x14ac:dyDescent="0.3">
      <c r="A43" s="1486">
        <v>58</v>
      </c>
      <c r="B43" s="88" t="s">
        <v>69</v>
      </c>
      <c r="C43" s="201" t="s">
        <v>77</v>
      </c>
      <c r="D43" s="1134">
        <f>Basisgegevens!D114</f>
        <v>0</v>
      </c>
      <c r="E43" s="1730" t="s">
        <v>783</v>
      </c>
      <c r="F43" s="314">
        <f>Basisgegevens!F114</f>
        <v>0</v>
      </c>
      <c r="G43" s="1730" t="s">
        <v>783</v>
      </c>
      <c r="H43" s="1759" t="s">
        <v>159</v>
      </c>
      <c r="I43" s="30">
        <v>43</v>
      </c>
    </row>
    <row r="44" spans="1:9" ht="16.5" thickBot="1" x14ac:dyDescent="0.3">
      <c r="A44" s="1505">
        <v>59</v>
      </c>
      <c r="B44" s="1892" t="s">
        <v>218</v>
      </c>
      <c r="C44" s="1858"/>
      <c r="D44" s="1346">
        <f>D34-SUM(D37:D41)+SUBSTITUTE(D43,"zie jaarloon (60)",0)</f>
        <v>0</v>
      </c>
      <c r="E44" s="1893">
        <f>D44</f>
        <v>0</v>
      </c>
      <c r="F44" s="1346">
        <f>F34-SUM(F37:F41)+SUBSTITUTE(F43,"zie jaarloon (60)",0)</f>
        <v>0</v>
      </c>
      <c r="G44" s="1859">
        <f>F44</f>
        <v>0</v>
      </c>
      <c r="H44" s="1894" t="s">
        <v>172</v>
      </c>
      <c r="I44" s="2415">
        <v>44</v>
      </c>
    </row>
    <row r="45" spans="1:9" outlineLevel="1" x14ac:dyDescent="0.25">
      <c r="A45" s="1896"/>
      <c r="B45" s="1781"/>
      <c r="C45" s="1897"/>
      <c r="D45" s="1898"/>
      <c r="E45" s="1224"/>
      <c r="F45" s="1898"/>
      <c r="G45" s="1224"/>
      <c r="H45" s="1818"/>
      <c r="I45" s="1253">
        <v>45</v>
      </c>
    </row>
    <row r="46" spans="1:9" ht="16.5" outlineLevel="1" thickBot="1" x14ac:dyDescent="0.3">
      <c r="A46" s="1899"/>
      <c r="B46" s="1919" t="s">
        <v>79</v>
      </c>
      <c r="C46" s="1901"/>
      <c r="D46" s="1902"/>
      <c r="E46" s="967"/>
      <c r="F46" s="1902"/>
      <c r="G46" s="967"/>
      <c r="H46" s="2047"/>
      <c r="I46" s="359">
        <v>46</v>
      </c>
    </row>
    <row r="47" spans="1:9" outlineLevel="1" x14ac:dyDescent="0.25">
      <c r="A47" s="1484"/>
      <c r="B47" s="1917" t="str">
        <f>Basisgegevens!B33</f>
        <v>Loon volgens jaaropgave werkgever 1 (= dienstbetrekking)</v>
      </c>
      <c r="C47" s="1918" t="s">
        <v>77</v>
      </c>
      <c r="D47" s="1290">
        <f>BG60Jaaropgave1_AP</f>
        <v>0</v>
      </c>
      <c r="E47" s="973"/>
      <c r="F47" s="925">
        <f>BG60Jaaropgave1_AG</f>
        <v>0</v>
      </c>
      <c r="G47" s="921"/>
      <c r="H47" s="2628" t="s">
        <v>795</v>
      </c>
      <c r="I47" s="70">
        <v>47</v>
      </c>
    </row>
    <row r="48" spans="1:9" outlineLevel="1" x14ac:dyDescent="0.25">
      <c r="A48" s="1485"/>
      <c r="B48" s="348" t="s">
        <v>757</v>
      </c>
      <c r="C48" s="1291" t="s">
        <v>72</v>
      </c>
      <c r="D48" s="1295">
        <f>IF(BG60Jaaropgave1_AP+BG60Jaaropgave2_AP&lt;=0,0,BG60BijtellingAuto_AP)</f>
        <v>0</v>
      </c>
      <c r="E48" s="974"/>
      <c r="F48" s="933">
        <f>IF(BG60Jaaropgave1_AG+BG60Jaaropgave2_AG&lt;=0,0,BG60BijtellingAuto_AG)</f>
        <v>0</v>
      </c>
      <c r="G48" s="922"/>
      <c r="H48" s="2629"/>
      <c r="I48" s="69">
        <v>48</v>
      </c>
    </row>
    <row r="49" spans="1:9" ht="15.75" outlineLevel="1" thickBot="1" x14ac:dyDescent="0.3">
      <c r="A49" s="1488"/>
      <c r="B49" s="1394" t="str">
        <f>Basisgegevens!B35</f>
        <v>Loon volgens jaaropgave werkgever 2 (= dienstbetrekking)</v>
      </c>
      <c r="C49" s="1395" t="s">
        <v>77</v>
      </c>
      <c r="D49" s="1296">
        <f>BG60Jaaropgave2_AP</f>
        <v>0</v>
      </c>
      <c r="E49" s="965"/>
      <c r="F49" s="927">
        <f>BG60Jaaropgave2_AG</f>
        <v>0</v>
      </c>
      <c r="G49" s="913"/>
      <c r="H49" s="2629"/>
      <c r="I49" s="174">
        <v>49</v>
      </c>
    </row>
    <row r="50" spans="1:9" ht="30.6" customHeight="1" thickBot="1" x14ac:dyDescent="0.3">
      <c r="A50" s="1487">
        <v>60</v>
      </c>
      <c r="B50" s="1396" t="s">
        <v>767</v>
      </c>
      <c r="C50" s="195"/>
      <c r="D50" s="924">
        <f>IF(BG60Jaaropgave1_AP+BG60Jaaropgave2_AP-D48&lt;=0,0,D47-D48+D49)</f>
        <v>0</v>
      </c>
      <c r="E50" s="970" t="s">
        <v>269</v>
      </c>
      <c r="F50" s="924">
        <f>IF(BG60Jaaropgave1_AG+BG60Jaaropgave2_AG-F48&lt;=0,0,F47-F48+F49)</f>
        <v>0</v>
      </c>
      <c r="G50" s="950" t="s">
        <v>269</v>
      </c>
      <c r="H50" s="1808"/>
      <c r="I50" s="601">
        <v>50</v>
      </c>
    </row>
    <row r="51" spans="1:9" ht="15.75" thickBot="1" x14ac:dyDescent="0.3">
      <c r="A51" s="1490"/>
      <c r="B51" s="323"/>
      <c r="C51" s="426"/>
      <c r="D51" s="953"/>
      <c r="E51" s="967"/>
      <c r="F51" s="953"/>
      <c r="G51" s="914"/>
      <c r="H51" s="1809"/>
      <c r="I51" s="359">
        <v>51</v>
      </c>
    </row>
    <row r="52" spans="1:9" ht="19.5" thickBot="1" x14ac:dyDescent="0.3">
      <c r="A52" s="1491"/>
      <c r="B52" s="399" t="s">
        <v>5</v>
      </c>
      <c r="C52" s="400"/>
      <c r="D52" s="954"/>
      <c r="E52" s="971"/>
      <c r="F52" s="954"/>
      <c r="G52" s="916"/>
      <c r="H52" s="1810"/>
      <c r="I52" s="2416">
        <v>52</v>
      </c>
    </row>
    <row r="53" spans="1:9" outlineLevel="1" x14ac:dyDescent="0.25">
      <c r="A53" s="1483">
        <v>61</v>
      </c>
      <c r="B53" s="573" t="s">
        <v>6</v>
      </c>
      <c r="C53" s="199" t="s">
        <v>72</v>
      </c>
      <c r="D53" s="955">
        <v>0</v>
      </c>
      <c r="E53" s="2618" t="s">
        <v>269</v>
      </c>
      <c r="F53" s="955">
        <v>0</v>
      </c>
      <c r="G53" s="2621" t="s">
        <v>269</v>
      </c>
      <c r="H53" s="1811" t="s">
        <v>230</v>
      </c>
      <c r="I53" s="28">
        <v>53</v>
      </c>
    </row>
    <row r="54" spans="1:9" ht="30" outlineLevel="1" x14ac:dyDescent="0.25">
      <c r="A54" s="1485">
        <v>62</v>
      </c>
      <c r="B54" s="87" t="s">
        <v>184</v>
      </c>
      <c r="C54" s="200" t="s">
        <v>72</v>
      </c>
      <c r="D54" s="313">
        <v>0</v>
      </c>
      <c r="E54" s="2619"/>
      <c r="F54" s="313">
        <v>0</v>
      </c>
      <c r="G54" s="2622"/>
      <c r="H54" s="1806" t="s">
        <v>175</v>
      </c>
      <c r="I54" s="69">
        <v>54</v>
      </c>
    </row>
    <row r="55" spans="1:9" ht="15.75" outlineLevel="1" thickBot="1" x14ac:dyDescent="0.3">
      <c r="A55" s="1486">
        <v>63</v>
      </c>
      <c r="B55" s="574" t="s">
        <v>7</v>
      </c>
      <c r="C55" s="206" t="s">
        <v>72</v>
      </c>
      <c r="D55" s="920">
        <v>0</v>
      </c>
      <c r="E55" s="2620"/>
      <c r="F55" s="920">
        <v>0</v>
      </c>
      <c r="G55" s="2623"/>
      <c r="H55" s="1812" t="s">
        <v>230</v>
      </c>
      <c r="I55" s="30">
        <v>55</v>
      </c>
    </row>
    <row r="56" spans="1:9" ht="16.5" thickBot="1" x14ac:dyDescent="0.3">
      <c r="A56" s="1487">
        <v>64</v>
      </c>
      <c r="B56" s="187" t="s">
        <v>14</v>
      </c>
      <c r="C56" s="195" t="s">
        <v>80</v>
      </c>
      <c r="D56" s="924">
        <f>(D44+D50)-SUM(D53:D55)</f>
        <v>0</v>
      </c>
      <c r="E56" s="964">
        <f>D56</f>
        <v>0</v>
      </c>
      <c r="F56" s="924">
        <f>(F44+F50)-SUM(F53:F55)</f>
        <v>0</v>
      </c>
      <c r="G56" s="912">
        <f>F56</f>
        <v>0</v>
      </c>
      <c r="H56" s="1798" t="s">
        <v>588</v>
      </c>
      <c r="I56" s="601">
        <v>56</v>
      </c>
    </row>
    <row r="57" spans="1:9" ht="15.75" thickBot="1" x14ac:dyDescent="0.3">
      <c r="A57" s="1368"/>
      <c r="B57" s="410"/>
      <c r="C57" s="194"/>
      <c r="D57" s="930"/>
      <c r="E57" s="974"/>
      <c r="F57" s="930"/>
      <c r="G57" s="922"/>
      <c r="H57" s="1813"/>
      <c r="I57" s="332">
        <v>57</v>
      </c>
    </row>
    <row r="58" spans="1:9" ht="19.5" thickBot="1" x14ac:dyDescent="0.3">
      <c r="A58" s="1482"/>
      <c r="B58" s="98" t="s">
        <v>9</v>
      </c>
      <c r="C58" s="205"/>
      <c r="D58" s="911"/>
      <c r="E58" s="972"/>
      <c r="F58" s="911"/>
      <c r="G58" s="917"/>
      <c r="H58" s="1814"/>
      <c r="I58" s="2263">
        <v>58</v>
      </c>
    </row>
    <row r="59" spans="1:9" outlineLevel="1" x14ac:dyDescent="0.25">
      <c r="A59" s="1483">
        <v>65</v>
      </c>
      <c r="B59" s="86" t="s">
        <v>791</v>
      </c>
      <c r="C59" s="199" t="s">
        <v>77</v>
      </c>
      <c r="D59" s="35">
        <v>0</v>
      </c>
      <c r="E59" s="2618" t="s">
        <v>269</v>
      </c>
      <c r="F59" s="35">
        <v>0</v>
      </c>
      <c r="G59" s="2621" t="s">
        <v>269</v>
      </c>
      <c r="H59" s="1758"/>
      <c r="I59" s="28">
        <v>59</v>
      </c>
    </row>
    <row r="60" spans="1:9" outlineLevel="1" x14ac:dyDescent="0.25">
      <c r="A60" s="1485" t="s">
        <v>301</v>
      </c>
      <c r="B60" s="87" t="s">
        <v>1045</v>
      </c>
      <c r="C60" s="200" t="s">
        <v>77</v>
      </c>
      <c r="D60" s="313">
        <v>0</v>
      </c>
      <c r="E60" s="2631"/>
      <c r="F60" s="313">
        <v>0</v>
      </c>
      <c r="G60" s="2634"/>
      <c r="H60" s="1806"/>
      <c r="I60" s="69">
        <v>60</v>
      </c>
    </row>
    <row r="61" spans="1:9" outlineLevel="1" x14ac:dyDescent="0.25">
      <c r="A61" s="1485"/>
      <c r="B61" s="370" t="s">
        <v>368</v>
      </c>
      <c r="C61" s="376"/>
      <c r="D61" s="312">
        <f>SUM(D59:D60)</f>
        <v>0</v>
      </c>
      <c r="E61" s="2631"/>
      <c r="F61" s="312">
        <f>SUM(F59:F60)</f>
        <v>0</v>
      </c>
      <c r="G61" s="2634"/>
      <c r="H61" s="1806"/>
      <c r="I61" s="69">
        <v>61</v>
      </c>
    </row>
    <row r="62" spans="1:9" outlineLevel="1" x14ac:dyDescent="0.25">
      <c r="A62" s="1485">
        <v>66</v>
      </c>
      <c r="B62" s="93" t="s">
        <v>10</v>
      </c>
      <c r="C62" s="200" t="s">
        <v>77</v>
      </c>
      <c r="D62" s="313">
        <v>0</v>
      </c>
      <c r="E62" s="2631"/>
      <c r="F62" s="313">
        <v>0</v>
      </c>
      <c r="G62" s="2634"/>
      <c r="H62" s="1806"/>
      <c r="I62" s="69">
        <v>62</v>
      </c>
    </row>
    <row r="63" spans="1:9" outlineLevel="1" x14ac:dyDescent="0.25">
      <c r="A63" s="1485">
        <v>67</v>
      </c>
      <c r="B63" s="93" t="s">
        <v>11</v>
      </c>
      <c r="C63" s="200" t="s">
        <v>72</v>
      </c>
      <c r="D63" s="313">
        <v>0</v>
      </c>
      <c r="E63" s="2631"/>
      <c r="F63" s="313">
        <v>0</v>
      </c>
      <c r="G63" s="2634"/>
      <c r="H63" s="1806"/>
      <c r="I63" s="69">
        <v>63</v>
      </c>
    </row>
    <row r="64" spans="1:9" outlineLevel="1" x14ac:dyDescent="0.25">
      <c r="A64" s="1485">
        <v>68</v>
      </c>
      <c r="B64" s="571" t="s">
        <v>12</v>
      </c>
      <c r="C64" s="200" t="s">
        <v>72</v>
      </c>
      <c r="D64" s="931">
        <v>0</v>
      </c>
      <c r="E64" s="2631"/>
      <c r="F64" s="931">
        <v>0</v>
      </c>
      <c r="G64" s="2634"/>
      <c r="H64" s="1815" t="s">
        <v>230</v>
      </c>
      <c r="I64" s="69">
        <v>64</v>
      </c>
    </row>
    <row r="65" spans="1:9" ht="15.75" outlineLevel="1" thickBot="1" x14ac:dyDescent="0.3">
      <c r="A65" s="1486">
        <v>69</v>
      </c>
      <c r="B65" s="329" t="s">
        <v>1046</v>
      </c>
      <c r="C65" s="201" t="s">
        <v>72</v>
      </c>
      <c r="D65" s="956">
        <v>0</v>
      </c>
      <c r="E65" s="2632"/>
      <c r="F65" s="956">
        <v>0</v>
      </c>
      <c r="G65" s="2635"/>
      <c r="H65" s="1759"/>
      <c r="I65" s="30">
        <v>65</v>
      </c>
    </row>
    <row r="66" spans="1:9" ht="16.5" thickBot="1" x14ac:dyDescent="0.3">
      <c r="A66" s="1492">
        <v>70</v>
      </c>
      <c r="B66" s="397" t="s">
        <v>15</v>
      </c>
      <c r="C66" s="398"/>
      <c r="D66" s="957">
        <f>(D59+D62)-SUM(D63:D65)</f>
        <v>0</v>
      </c>
      <c r="E66" s="969">
        <f>D66</f>
        <v>0</v>
      </c>
      <c r="F66" s="957">
        <f>(F59+F62)-SUM(F63:F65)</f>
        <v>0</v>
      </c>
      <c r="G66" s="915">
        <f>F66</f>
        <v>0</v>
      </c>
      <c r="H66" s="1816" t="s">
        <v>176</v>
      </c>
      <c r="I66" s="2417">
        <v>66</v>
      </c>
    </row>
    <row r="67" spans="1:9" ht="15.75" outlineLevel="1" thickBot="1" x14ac:dyDescent="0.3">
      <c r="A67" s="1896"/>
      <c r="B67" s="1781"/>
      <c r="C67" s="1898"/>
      <c r="D67" s="1224"/>
      <c r="E67" s="1898"/>
      <c r="F67" s="1224"/>
      <c r="G67" s="1224"/>
      <c r="H67" s="1818"/>
      <c r="I67" s="1253">
        <v>67</v>
      </c>
    </row>
    <row r="68" spans="1:9" ht="19.5" outlineLevel="1" thickBot="1" x14ac:dyDescent="0.3">
      <c r="A68" s="1943"/>
      <c r="B68" s="1933" t="s">
        <v>13</v>
      </c>
      <c r="C68" s="1944"/>
      <c r="D68" s="1945"/>
      <c r="E68" s="968"/>
      <c r="F68" s="1945"/>
      <c r="G68" s="968"/>
      <c r="H68" s="1805"/>
      <c r="I68" s="2263">
        <v>68</v>
      </c>
    </row>
    <row r="69" spans="1:9" outlineLevel="1" x14ac:dyDescent="0.25">
      <c r="A69" s="1920">
        <v>71</v>
      </c>
      <c r="B69" s="89" t="s">
        <v>384</v>
      </c>
      <c r="C69" s="202" t="s">
        <v>72</v>
      </c>
      <c r="D69" s="925">
        <f>IF(Basisgegevens!D144="Ja",IF(YEAR(Basisgegevens!C$9)&lt;Basisgegevens!$C$17,Basisgegevens!$C$144/2,Basisgegevens!$C$144),0)</f>
        <v>0</v>
      </c>
      <c r="E69" s="2630" t="s">
        <v>269</v>
      </c>
      <c r="F69" s="925">
        <f>IF(Basisgegevens!E144="Ja",IF(YEAR(Basisgegevens!D$9)&lt;Basisgegevens!$C$17,Basisgegevens!$C$144/2,Basisgegevens!$C$144),0)</f>
        <v>0</v>
      </c>
      <c r="G69" s="2633" t="s">
        <v>269</v>
      </c>
      <c r="H69" s="1817" t="s">
        <v>444</v>
      </c>
      <c r="I69" s="2418">
        <v>69</v>
      </c>
    </row>
    <row r="70" spans="1:9" outlineLevel="1" x14ac:dyDescent="0.25">
      <c r="A70" s="1493"/>
      <c r="B70" s="93" t="s">
        <v>369</v>
      </c>
      <c r="C70" s="200" t="s">
        <v>72</v>
      </c>
      <c r="D70" s="312">
        <f>IF(Basisgegevens!D145="Ja",IF(YEAR(Basisgegevens!C$9)&lt;Basisgegevens!$C$17,Basisgegevens!$C$145/2,Basisgegevens!$C$145),0)</f>
        <v>0</v>
      </c>
      <c r="E70" s="2646"/>
      <c r="F70" s="312">
        <f>IF(Basisgegevens!E145="Ja",IF(YEAR(Basisgegevens!D$9)&lt;Basisgegevens!$C$17,Basisgegevens!$C$145/2,Basisgegevens!$C$145),0)</f>
        <v>0</v>
      </c>
      <c r="G70" s="2647"/>
      <c r="H70" s="1806" t="s">
        <v>444</v>
      </c>
      <c r="I70" s="2419">
        <v>70</v>
      </c>
    </row>
    <row r="71" spans="1:9" outlineLevel="1" x14ac:dyDescent="0.25">
      <c r="A71" s="1493">
        <v>72</v>
      </c>
      <c r="B71" s="87" t="s">
        <v>16</v>
      </c>
      <c r="C71" s="200" t="s">
        <v>72</v>
      </c>
      <c r="D71" s="312">
        <f>Basisgegevens!D151</f>
        <v>0</v>
      </c>
      <c r="E71" s="2619"/>
      <c r="F71" s="312">
        <f>Basisgegevens!E151</f>
        <v>0</v>
      </c>
      <c r="G71" s="2622"/>
      <c r="H71" s="1806"/>
      <c r="I71" s="2419">
        <v>71</v>
      </c>
    </row>
    <row r="72" spans="1:9" outlineLevel="1" x14ac:dyDescent="0.25">
      <c r="A72" s="1493">
        <v>73</v>
      </c>
      <c r="B72" s="87" t="str">
        <f>CONCATENATE("Meewerkaftrek: ",Basisgegevens!C4," a ",Basisgegevens!D160*100,"% / ",Basisgegevens!D4," a ",Basisgegevens!E160*100,"%")</f>
        <v>Meewerkaftrek: AP a 0% / AG a 0%</v>
      </c>
      <c r="C72" s="200" t="s">
        <v>72</v>
      </c>
      <c r="D72" s="312">
        <f>Basisgegevens!D160*D66</f>
        <v>0</v>
      </c>
      <c r="E72" s="2619"/>
      <c r="F72" s="312">
        <f>Basisgegevens!E160*F66</f>
        <v>0</v>
      </c>
      <c r="G72" s="2622"/>
      <c r="H72" s="1806"/>
      <c r="I72" s="2419">
        <v>72</v>
      </c>
    </row>
    <row r="73" spans="1:9" outlineLevel="1" x14ac:dyDescent="0.25">
      <c r="A73" s="1493">
        <v>74</v>
      </c>
      <c r="B73" s="87" t="s">
        <v>848</v>
      </c>
      <c r="C73" s="200" t="s">
        <v>72</v>
      </c>
      <c r="D73" s="313">
        <v>0</v>
      </c>
      <c r="E73" s="2619"/>
      <c r="F73" s="313">
        <v>0</v>
      </c>
      <c r="G73" s="2622"/>
      <c r="H73" s="1806" t="s">
        <v>824</v>
      </c>
      <c r="I73" s="2419">
        <v>73</v>
      </c>
    </row>
    <row r="74" spans="1:9" ht="15.75" outlineLevel="1" thickBot="1" x14ac:dyDescent="0.3">
      <c r="A74" s="1494"/>
      <c r="B74" s="297" t="s">
        <v>370</v>
      </c>
      <c r="C74" s="201" t="s">
        <v>72</v>
      </c>
      <c r="D74" s="314">
        <f>(D66-SUM(D69:D73))*Basisgegevens!$C$163</f>
        <v>0</v>
      </c>
      <c r="E74" s="2620"/>
      <c r="F74" s="314">
        <f>(F66-SUM(F69:F73))*Basisgegevens!$C$163</f>
        <v>0</v>
      </c>
      <c r="G74" s="2623"/>
      <c r="H74" s="1806" t="s">
        <v>824</v>
      </c>
      <c r="I74" s="2420">
        <v>74</v>
      </c>
    </row>
    <row r="75" spans="1:9" ht="16.5" thickBot="1" x14ac:dyDescent="0.3">
      <c r="A75" s="1505">
        <v>75</v>
      </c>
      <c r="B75" s="1892" t="s">
        <v>18</v>
      </c>
      <c r="C75" s="1858" t="s">
        <v>82</v>
      </c>
      <c r="D75" s="1346">
        <f>D66-SUM(D69:D74)</f>
        <v>0</v>
      </c>
      <c r="E75" s="1893">
        <f>D75</f>
        <v>0</v>
      </c>
      <c r="F75" s="1346">
        <f>F66-SUM(F69:F74)</f>
        <v>0</v>
      </c>
      <c r="G75" s="1859">
        <f>F75</f>
        <v>0</v>
      </c>
      <c r="H75" s="1894" t="s">
        <v>177</v>
      </c>
      <c r="I75" s="2415">
        <v>75</v>
      </c>
    </row>
    <row r="76" spans="1:9" ht="15.75" outlineLevel="1" thickBot="1" x14ac:dyDescent="0.3">
      <c r="A76" s="1896"/>
      <c r="B76" s="1781"/>
      <c r="C76" s="1897"/>
      <c r="D76" s="1898"/>
      <c r="E76" s="1224"/>
      <c r="F76" s="1898"/>
      <c r="G76" s="1224"/>
      <c r="H76" s="1818"/>
      <c r="I76" s="1253">
        <v>76</v>
      </c>
    </row>
    <row r="77" spans="1:9" ht="19.5" outlineLevel="1" thickBot="1" x14ac:dyDescent="0.3">
      <c r="A77" s="1943"/>
      <c r="B77" s="1933" t="s">
        <v>20</v>
      </c>
      <c r="C77" s="1944"/>
      <c r="D77" s="1945"/>
      <c r="E77" s="968"/>
      <c r="F77" s="1945"/>
      <c r="G77" s="968"/>
      <c r="H77" s="2048"/>
      <c r="I77" s="2263">
        <v>77</v>
      </c>
    </row>
    <row r="78" spans="1:9" ht="30" outlineLevel="1" x14ac:dyDescent="0.25">
      <c r="A78" s="1484">
        <v>76</v>
      </c>
      <c r="B78" s="89" t="s">
        <v>20</v>
      </c>
      <c r="C78" s="202" t="s">
        <v>77</v>
      </c>
      <c r="D78" s="961">
        <v>0</v>
      </c>
      <c r="E78" s="2630" t="s">
        <v>269</v>
      </c>
      <c r="F78" s="961">
        <v>0</v>
      </c>
      <c r="G78" s="2633" t="s">
        <v>269</v>
      </c>
      <c r="H78" s="1817" t="s">
        <v>768</v>
      </c>
      <c r="I78" s="70">
        <v>78</v>
      </c>
    </row>
    <row r="79" spans="1:9" ht="15.75" outlineLevel="1" thickBot="1" x14ac:dyDescent="0.3">
      <c r="A79" s="1486">
        <v>77</v>
      </c>
      <c r="B79" s="88" t="s">
        <v>10</v>
      </c>
      <c r="C79" s="201" t="s">
        <v>77</v>
      </c>
      <c r="D79" s="956">
        <v>0</v>
      </c>
      <c r="E79" s="2620"/>
      <c r="F79" s="956">
        <v>0</v>
      </c>
      <c r="G79" s="2623"/>
      <c r="H79" s="1759"/>
      <c r="I79" s="30">
        <v>79</v>
      </c>
    </row>
    <row r="80" spans="1:9" ht="16.5" thickBot="1" x14ac:dyDescent="0.3">
      <c r="A80" s="1505">
        <v>78</v>
      </c>
      <c r="B80" s="1892" t="s">
        <v>21</v>
      </c>
      <c r="C80" s="702" t="s">
        <v>85</v>
      </c>
      <c r="D80" s="1346">
        <f>SUM(D78:D79)</f>
        <v>0</v>
      </c>
      <c r="E80" s="1893">
        <f>D80</f>
        <v>0</v>
      </c>
      <c r="F80" s="1346">
        <f>SUM(F78:F79)</f>
        <v>0</v>
      </c>
      <c r="G80" s="1859">
        <f>F80</f>
        <v>0</v>
      </c>
      <c r="H80" s="1894" t="s">
        <v>302</v>
      </c>
      <c r="I80" s="2415">
        <v>80</v>
      </c>
    </row>
    <row r="81" spans="1:9" ht="15.75" outlineLevel="1" thickBot="1" x14ac:dyDescent="0.3">
      <c r="A81" s="1896"/>
      <c r="B81" s="1781"/>
      <c r="C81" s="1897"/>
      <c r="D81" s="1898"/>
      <c r="E81" s="1224"/>
      <c r="F81" s="1898"/>
      <c r="G81" s="1224"/>
      <c r="H81" s="1818"/>
      <c r="I81" s="1253">
        <v>81</v>
      </c>
    </row>
    <row r="82" spans="1:9" ht="19.5" outlineLevel="1" thickBot="1" x14ac:dyDescent="0.3">
      <c r="A82" s="1932"/>
      <c r="B82" s="1933" t="s">
        <v>972</v>
      </c>
      <c r="C82" s="1934"/>
      <c r="D82" s="1935"/>
      <c r="E82" s="972"/>
      <c r="F82" s="1935"/>
      <c r="G82" s="972"/>
      <c r="H82" s="1990"/>
      <c r="I82" s="2263">
        <v>82</v>
      </c>
    </row>
    <row r="83" spans="1:9" ht="30" outlineLevel="1" x14ac:dyDescent="0.25">
      <c r="A83" s="1484">
        <v>79</v>
      </c>
      <c r="B83" s="89" t="s">
        <v>22</v>
      </c>
      <c r="C83" s="202" t="s">
        <v>77</v>
      </c>
      <c r="D83" s="961">
        <v>0</v>
      </c>
      <c r="E83" s="1921">
        <f>D83</f>
        <v>0</v>
      </c>
      <c r="F83" s="961">
        <v>0</v>
      </c>
      <c r="G83" s="1222">
        <f>F83</f>
        <v>0</v>
      </c>
      <c r="H83" s="1817" t="s">
        <v>1047</v>
      </c>
      <c r="I83" s="70">
        <v>83</v>
      </c>
    </row>
    <row r="84" spans="1:9" ht="30" outlineLevel="1" x14ac:dyDescent="0.25">
      <c r="A84" s="1488" t="s">
        <v>738</v>
      </c>
      <c r="B84" s="1773" t="s">
        <v>1048</v>
      </c>
      <c r="C84" s="200" t="s">
        <v>77</v>
      </c>
      <c r="D84" s="927">
        <f>F280*12</f>
        <v>0</v>
      </c>
      <c r="E84" s="948" t="s">
        <v>269</v>
      </c>
      <c r="F84" s="927">
        <f>D280*12</f>
        <v>0</v>
      </c>
      <c r="G84" s="919" t="s">
        <v>269</v>
      </c>
      <c r="H84" s="1807" t="s">
        <v>923</v>
      </c>
      <c r="I84" s="174">
        <v>84</v>
      </c>
    </row>
    <row r="85" spans="1:9" ht="15.75" outlineLevel="1" thickBot="1" x14ac:dyDescent="0.3">
      <c r="A85" s="1495">
        <v>80</v>
      </c>
      <c r="B85" s="574" t="s">
        <v>23</v>
      </c>
      <c r="C85" s="206" t="s">
        <v>72</v>
      </c>
      <c r="D85" s="920">
        <v>0</v>
      </c>
      <c r="E85" s="939">
        <v>0</v>
      </c>
      <c r="F85" s="920">
        <v>0</v>
      </c>
      <c r="G85" s="920">
        <v>0</v>
      </c>
      <c r="H85" s="1812" t="s">
        <v>230</v>
      </c>
      <c r="I85" s="2421">
        <v>85</v>
      </c>
    </row>
    <row r="86" spans="1:9" ht="16.5" thickBot="1" x14ac:dyDescent="0.3">
      <c r="A86" s="1492">
        <v>81</v>
      </c>
      <c r="B86" s="397" t="s">
        <v>24</v>
      </c>
      <c r="C86" s="398" t="s">
        <v>83</v>
      </c>
      <c r="D86" s="957">
        <f>D83+D84-D85</f>
        <v>0</v>
      </c>
      <c r="E86" s="1220">
        <f>E83-E85</f>
        <v>0</v>
      </c>
      <c r="F86" s="957">
        <f>F83+F84-F85</f>
        <v>0</v>
      </c>
      <c r="G86" s="957">
        <f>G83-G85</f>
        <v>0</v>
      </c>
      <c r="H86" s="1816" t="s">
        <v>303</v>
      </c>
      <c r="I86" s="2417">
        <v>86</v>
      </c>
    </row>
    <row r="87" spans="1:9" ht="15.75" thickBot="1" x14ac:dyDescent="0.3">
      <c r="A87" s="1890"/>
      <c r="B87" s="115"/>
      <c r="C87" s="1891"/>
      <c r="D87" s="1865"/>
      <c r="E87" s="966"/>
      <c r="F87" s="1865"/>
      <c r="G87" s="966"/>
      <c r="H87" s="1828"/>
      <c r="I87" s="169">
        <v>87</v>
      </c>
    </row>
    <row r="88" spans="1:9" ht="19.5" thickBot="1" x14ac:dyDescent="0.3">
      <c r="A88" s="1922"/>
      <c r="B88" s="1938" t="s">
        <v>935</v>
      </c>
      <c r="C88" s="1939"/>
      <c r="D88" s="1924" t="str">
        <f>IF(BGOEWRekenModule="Nee","",Basisgegevens!P179)</f>
        <v/>
      </c>
      <c r="E88" s="1925"/>
      <c r="F88" s="1924">
        <f>IF(BGOEWRekenModule="Nee",0,Basisgegevens!Q179)</f>
        <v>0</v>
      </c>
      <c r="G88" s="1925"/>
      <c r="H88" s="1926"/>
      <c r="I88" s="2422">
        <v>88</v>
      </c>
    </row>
    <row r="89" spans="1:9" outlineLevel="1" x14ac:dyDescent="0.25">
      <c r="A89" s="1483">
        <f>Basisgegevens!L182</f>
        <v>81</v>
      </c>
      <c r="B89" s="1767" t="str">
        <f>"OEW Fictief inkomen: "&amp;Basisgegevens!M182</f>
        <v>OEW Fictief inkomen: Eigen Woning Forfait ontvangen als partneralimentatie</v>
      </c>
      <c r="C89" s="199" t="s">
        <v>77</v>
      </c>
      <c r="D89" s="1236">
        <f>IF(BGOEWRekenModule="Nee",0,BGOEW81EWFPA_AP)</f>
        <v>0</v>
      </c>
      <c r="E89" s="1213"/>
      <c r="F89" s="1236">
        <f>IF(BGOEWRekenModule="Nee",0,BGOEW81EWFPA_AG)</f>
        <v>0</v>
      </c>
      <c r="G89" s="1213"/>
      <c r="H89" s="1796" t="s">
        <v>1049</v>
      </c>
      <c r="I89" s="28">
        <v>89</v>
      </c>
    </row>
    <row r="90" spans="1:9" ht="15.75" outlineLevel="1" thickBot="1" x14ac:dyDescent="0.3">
      <c r="A90" s="1486">
        <f>Basisgegevens!L187</f>
        <v>81</v>
      </c>
      <c r="B90" s="1768" t="str">
        <f>"OEW Fictief inkomen: "&amp;Basisgegevens!M187</f>
        <v>OEW Fictief inkomen: Rente ontvangen als partneralimentatie</v>
      </c>
      <c r="C90" s="201" t="s">
        <v>77</v>
      </c>
      <c r="D90" s="1237">
        <f>IF(BGOEWRekenModule="Nee",0,BGOEW81RentePA_AP)</f>
        <v>0</v>
      </c>
      <c r="E90" s="1227"/>
      <c r="F90" s="1237">
        <f>IF(BGOEWRekenModule="Nee",0,BGOEW81RentePA_AG)</f>
        <v>0</v>
      </c>
      <c r="G90" s="1227"/>
      <c r="H90" s="1797" t="s">
        <v>1049</v>
      </c>
      <c r="I90" s="30">
        <v>90</v>
      </c>
    </row>
    <row r="91" spans="1:9" ht="15.75" thickBot="1" x14ac:dyDescent="0.3">
      <c r="A91" s="1505">
        <v>81</v>
      </c>
      <c r="B91" s="1927" t="s">
        <v>762</v>
      </c>
      <c r="C91" s="1858"/>
      <c r="D91" s="1346">
        <f>SUM(D89:D90)</f>
        <v>0</v>
      </c>
      <c r="E91" s="1893">
        <v>0</v>
      </c>
      <c r="F91" s="1859">
        <f>SUM(F89:F90)</f>
        <v>0</v>
      </c>
      <c r="G91" s="1859">
        <v>0</v>
      </c>
      <c r="H91" s="1873"/>
      <c r="I91" s="2415">
        <v>91</v>
      </c>
    </row>
    <row r="92" spans="1:9" s="105" customFormat="1" ht="15.75" thickBot="1" x14ac:dyDescent="0.3">
      <c r="A92" s="1936"/>
      <c r="B92" s="1928"/>
      <c r="C92" s="1929"/>
      <c r="D92" s="1930"/>
      <c r="E92" s="1930"/>
      <c r="F92" s="1930"/>
      <c r="G92" s="1930"/>
      <c r="H92" s="1828"/>
      <c r="I92" s="2054">
        <v>92</v>
      </c>
    </row>
    <row r="93" spans="1:9" s="105" customFormat="1" ht="19.5" thickBot="1" x14ac:dyDescent="0.3">
      <c r="A93" s="1937"/>
      <c r="B93" s="1938" t="s">
        <v>294</v>
      </c>
      <c r="C93" s="1939"/>
      <c r="D93" s="1226" t="str">
        <f>IF(BGOEWRekenModule="Nee","",Basisgegevens!P179)</f>
        <v/>
      </c>
      <c r="E93" s="1226" t="str">
        <f>IF(BGOEWRekenModule="Nee","",Basisgegevens!P179)</f>
        <v/>
      </c>
      <c r="F93" s="1226">
        <f>IF(BGOEWRekenModule="Nee",0,Basisgegevens!Q179)</f>
        <v>0</v>
      </c>
      <c r="G93" s="1226">
        <f>IF(BGOEWRekenModule="Nee",0,Basisgegevens!Q179)</f>
        <v>0</v>
      </c>
      <c r="H93" s="1819"/>
      <c r="I93" s="1940">
        <v>93</v>
      </c>
    </row>
    <row r="94" spans="1:9" outlineLevel="1" x14ac:dyDescent="0.25">
      <c r="A94" s="1484">
        <v>82</v>
      </c>
      <c r="B94" s="89" t="s">
        <v>827</v>
      </c>
      <c r="C94" s="202" t="s">
        <v>77</v>
      </c>
      <c r="D94" s="925">
        <f>IF(BGOEWRekenModule="Ja",Basisgegevens!F185,Basisgegevens!E172+Basisgegevens!F185)</f>
        <v>0</v>
      </c>
      <c r="E94" s="2650" t="s">
        <v>269</v>
      </c>
      <c r="F94" s="925">
        <f>IF(BGOEWRekenModule="Ja",Basisgegevens!E185,Basisgegevens!F172+Basisgegevens!E185)</f>
        <v>0</v>
      </c>
      <c r="G94" s="2650" t="s">
        <v>269</v>
      </c>
      <c r="H94" s="1817"/>
      <c r="I94" s="70">
        <v>94</v>
      </c>
    </row>
    <row r="95" spans="1:9" outlineLevel="1" x14ac:dyDescent="0.25">
      <c r="A95" s="1484" t="str">
        <f>Basisgegevens!L183</f>
        <v>82a</v>
      </c>
      <c r="B95" s="89" t="str">
        <f>"OEW: "&amp;Basisgegevens!M183</f>
        <v>OEW: Eigen Woning Forfait van de Onverdeeld Eigen Woning</v>
      </c>
      <c r="C95" s="202" t="s">
        <v>77</v>
      </c>
      <c r="D95" s="925">
        <f>IF(BGOEWRekenModule="Nee",0,BGOEW82aEWF_AP)</f>
        <v>0</v>
      </c>
      <c r="E95" s="2651"/>
      <c r="F95" s="925">
        <f>IF(BGOEWRekenModule="Nee",0,BGOEW82aEWF_AG)</f>
        <v>0</v>
      </c>
      <c r="G95" s="2651"/>
      <c r="H95" s="1817" t="s">
        <v>1049</v>
      </c>
      <c r="I95" s="70">
        <v>95</v>
      </c>
    </row>
    <row r="96" spans="1:9" ht="30" outlineLevel="1" x14ac:dyDescent="0.25">
      <c r="A96" s="1484">
        <v>82</v>
      </c>
      <c r="B96" s="89" t="str">
        <f>"Bij geen/kleine eigen woningschuld is er recht op aftrek van "&amp;BG82EWFAfbouwtarief*100&amp;"% over het EWF minus de aftrekbare kosten"</f>
        <v>Bij geen/kleine eigen woningschuld is er recht op aftrek van 83,33% over het EWF minus de aftrekbare kosten</v>
      </c>
      <c r="C96" s="200" t="s">
        <v>72</v>
      </c>
      <c r="D96" s="925">
        <f>IF(SUM(D94:D95)-SUM(D97:D101)&gt;0,(SUM(D94:D95)-SUM(D97:D101))*BG82EWFAfbouwtarief,0)</f>
        <v>0</v>
      </c>
      <c r="E96" s="2651"/>
      <c r="F96" s="925">
        <f>IF(F94-SUM(F97:F101)&gt;0,(F94-SUM(F97:F101))*BG82EWFAfbouwtarief,0)</f>
        <v>0</v>
      </c>
      <c r="G96" s="2651"/>
      <c r="H96" s="1817" t="s">
        <v>828</v>
      </c>
      <c r="I96" s="70">
        <v>96</v>
      </c>
    </row>
    <row r="97" spans="1:9" outlineLevel="1" x14ac:dyDescent="0.25">
      <c r="A97" s="1493">
        <v>83</v>
      </c>
      <c r="B97" s="87" t="s">
        <v>178</v>
      </c>
      <c r="C97" s="200" t="s">
        <v>72</v>
      </c>
      <c r="D97" s="1222">
        <f>IF(BG83HypRenteWoning1="Zie OEW",Basisgegevens!F189,Basisgegevens!E176+Basisgegevens!F189)</f>
        <v>0</v>
      </c>
      <c r="E97" s="2651"/>
      <c r="F97" s="312">
        <f>IF(BG83HypRenteWoning1="Zie OEW",Basisgegevens!E189,Basisgegevens!F176+Basisgegevens!E189)</f>
        <v>0</v>
      </c>
      <c r="G97" s="2651"/>
      <c r="H97" s="1806"/>
      <c r="I97" s="2419">
        <v>97</v>
      </c>
    </row>
    <row r="98" spans="1:9" outlineLevel="1" x14ac:dyDescent="0.25">
      <c r="A98" s="1496" t="str">
        <f>Basisgegevens!L188</f>
        <v>83a</v>
      </c>
      <c r="B98" s="97" t="str">
        <f>"OEW: "&amp;Basisgegevens!M188</f>
        <v>OEW: Rente Onverdeeld Eigen Woning Eigen aandeel</v>
      </c>
      <c r="C98" s="200" t="s">
        <v>72</v>
      </c>
      <c r="D98" s="312">
        <f>IF(BGOEWRekenModule="Nee",0,BGOEW83aRente_AP)</f>
        <v>0</v>
      </c>
      <c r="E98" s="2652"/>
      <c r="F98" s="312">
        <f>IF(BGOEWRekenModule="Nee",0,BGOEW83aRente_AG)</f>
        <v>0</v>
      </c>
      <c r="G98" s="2652"/>
      <c r="H98" s="1817" t="s">
        <v>1049</v>
      </c>
      <c r="I98" s="2423">
        <v>98</v>
      </c>
    </row>
    <row r="99" spans="1:9" outlineLevel="1" x14ac:dyDescent="0.25">
      <c r="A99" s="1496" t="str">
        <f>Basisgegevens!L189</f>
        <v>83a</v>
      </c>
      <c r="B99" s="97" t="str">
        <f>"OEW: "&amp;Basisgegevens!M189</f>
        <v>OEW: Rente betaald voor ex. partner als partneralimentatie</v>
      </c>
      <c r="C99" s="200" t="s">
        <v>72</v>
      </c>
      <c r="D99" s="312">
        <f>IF(BGOEWRekenModule="Nee",0,BGOEW83aRentePA_AP)</f>
        <v>0</v>
      </c>
      <c r="E99" s="2652"/>
      <c r="F99" s="312">
        <f>IF(BGOEWRekenModule="Nee",0,BGOEW83aRentePA_AG)</f>
        <v>0</v>
      </c>
      <c r="G99" s="2652"/>
      <c r="H99" s="1817" t="s">
        <v>1049</v>
      </c>
      <c r="I99" s="2423">
        <v>99</v>
      </c>
    </row>
    <row r="100" spans="1:9" ht="30" outlineLevel="1" x14ac:dyDescent="0.25">
      <c r="A100" s="1488" t="s">
        <v>780</v>
      </c>
      <c r="B100" s="1773" t="s">
        <v>936</v>
      </c>
      <c r="C100" s="200" t="s">
        <v>72</v>
      </c>
      <c r="D100" s="927">
        <f>F280*12</f>
        <v>0</v>
      </c>
      <c r="E100" s="2652"/>
      <c r="F100" s="927">
        <f>D280*12</f>
        <v>0</v>
      </c>
      <c r="G100" s="2652"/>
      <c r="H100" s="1806" t="s">
        <v>777</v>
      </c>
      <c r="I100" s="174">
        <v>100</v>
      </c>
    </row>
    <row r="101" spans="1:9" ht="15.75" outlineLevel="1" thickBot="1" x14ac:dyDescent="0.3">
      <c r="A101" s="1496">
        <v>84</v>
      </c>
      <c r="B101" s="97" t="str">
        <f>IF(BGOEWRekenModule="Ja","OEW: ","")&amp;"Periodieke betalingen van erfpacht e.d."</f>
        <v>Periodieke betalingen van erfpacht e.d.</v>
      </c>
      <c r="C101" s="208" t="s">
        <v>72</v>
      </c>
      <c r="D101" s="927">
        <f>IF(BGOEWRekenModule="Nee",Basisgegevens!E177+Basisgegevens!F190,IF(AND(BGOEWRekenModule="Ja",BGOEWErfpacht=BGPartnerAP),Basisgegevens!C177,IF(AND(BGOEWRekenModule="Ja",BGOEWErfpacht=Keuzelijsten!$R$4),Basisgegevens!C177/2,0)))*12</f>
        <v>0</v>
      </c>
      <c r="E101" s="2653"/>
      <c r="F101" s="927">
        <f>IF(BGOEWRekenModule="Nee",Basisgegevens!F177+Basisgegevens!E190,IF(AND(BGOEWRekenModule="Ja",BGOEWErfpacht=BGPartnerAG),Basisgegevens!C177,IF(AND(BGOEWRekenModule="Ja",BGOEWErfpacht=Keuzelijsten!$R$4),Basisgegevens!C177/2,0)))*12</f>
        <v>0</v>
      </c>
      <c r="G101" s="2653"/>
      <c r="H101" s="1807"/>
      <c r="I101" s="2423">
        <v>101</v>
      </c>
    </row>
    <row r="102" spans="1:9" ht="16.5" thickBot="1" x14ac:dyDescent="0.3">
      <c r="A102" s="1505">
        <v>85</v>
      </c>
      <c r="B102" s="1892" t="s">
        <v>1050</v>
      </c>
      <c r="C102" s="702" t="s">
        <v>84</v>
      </c>
      <c r="D102" s="1346">
        <f>SUM(D94:D95)-SUM(D96:D101)</f>
        <v>0</v>
      </c>
      <c r="E102" s="1893">
        <v>0</v>
      </c>
      <c r="F102" s="1346">
        <f>SUM(F94:F95)-SUM(F96:F101)</f>
        <v>0</v>
      </c>
      <c r="G102" s="1931">
        <v>0</v>
      </c>
      <c r="H102" s="1782" t="s">
        <v>307</v>
      </c>
      <c r="I102" s="2415">
        <v>102</v>
      </c>
    </row>
    <row r="103" spans="1:9" ht="15.75" thickBot="1" x14ac:dyDescent="0.3">
      <c r="A103" s="1890"/>
      <c r="B103" s="1928"/>
      <c r="C103" s="1929"/>
      <c r="D103" s="1930"/>
      <c r="E103" s="1930"/>
      <c r="F103" s="1930"/>
      <c r="G103" s="1930"/>
      <c r="H103" s="1828"/>
      <c r="I103" s="169">
        <v>103</v>
      </c>
    </row>
    <row r="104" spans="1:9" ht="19.5" thickBot="1" x14ac:dyDescent="0.3">
      <c r="A104" s="2058"/>
      <c r="B104" s="2059" t="s">
        <v>295</v>
      </c>
      <c r="C104" s="2060"/>
      <c r="D104" s="2061"/>
      <c r="E104" s="1941"/>
      <c r="F104" s="2061"/>
      <c r="G104" s="1941"/>
      <c r="H104" s="1926"/>
      <c r="I104" s="2422">
        <v>104</v>
      </c>
    </row>
    <row r="105" spans="1:9" ht="30" outlineLevel="1" x14ac:dyDescent="0.25">
      <c r="A105" s="1484">
        <v>86</v>
      </c>
      <c r="B105" s="89" t="s">
        <v>25</v>
      </c>
      <c r="C105" s="202" t="s">
        <v>77</v>
      </c>
      <c r="D105" s="961">
        <v>0</v>
      </c>
      <c r="E105" s="2630" t="s">
        <v>269</v>
      </c>
      <c r="F105" s="961">
        <v>0</v>
      </c>
      <c r="G105" s="2633" t="s">
        <v>269</v>
      </c>
      <c r="H105" s="1817" t="s">
        <v>180</v>
      </c>
      <c r="I105" s="70">
        <v>105</v>
      </c>
    </row>
    <row r="106" spans="1:9" outlineLevel="1" x14ac:dyDescent="0.25">
      <c r="A106" s="1485">
        <v>87</v>
      </c>
      <c r="B106" s="87" t="s">
        <v>26</v>
      </c>
      <c r="C106" s="200" t="s">
        <v>77</v>
      </c>
      <c r="D106" s="313">
        <v>0</v>
      </c>
      <c r="E106" s="2619"/>
      <c r="F106" s="313">
        <v>0</v>
      </c>
      <c r="G106" s="2622"/>
      <c r="H106" s="1806" t="s">
        <v>181</v>
      </c>
      <c r="I106" s="69">
        <v>106</v>
      </c>
    </row>
    <row r="107" spans="1:9" ht="15.75" outlineLevel="1" thickBot="1" x14ac:dyDescent="0.3">
      <c r="A107" s="1497">
        <v>88</v>
      </c>
      <c r="B107" s="575" t="s">
        <v>27</v>
      </c>
      <c r="C107" s="403" t="s">
        <v>77</v>
      </c>
      <c r="D107" s="1193">
        <v>0</v>
      </c>
      <c r="E107" s="2649"/>
      <c r="F107" s="958">
        <v>0</v>
      </c>
      <c r="G107" s="2648"/>
      <c r="H107" s="1820" t="s">
        <v>230</v>
      </c>
      <c r="I107" s="2424">
        <v>107</v>
      </c>
    </row>
    <row r="108" spans="1:9" ht="16.5" thickBot="1" x14ac:dyDescent="0.3">
      <c r="A108" s="1487">
        <v>89</v>
      </c>
      <c r="B108" s="187" t="s">
        <v>28</v>
      </c>
      <c r="C108" s="298" t="s">
        <v>86</v>
      </c>
      <c r="D108" s="924">
        <f>SUM(D105:D107)</f>
        <v>0</v>
      </c>
      <c r="E108" s="964">
        <f>D108</f>
        <v>0</v>
      </c>
      <c r="F108" s="924">
        <f>SUM(F105:F107)</f>
        <v>0</v>
      </c>
      <c r="G108" s="912">
        <f>F108</f>
        <v>0</v>
      </c>
      <c r="H108" s="1798" t="s">
        <v>182</v>
      </c>
      <c r="I108" s="601">
        <v>108</v>
      </c>
    </row>
    <row r="109" spans="1:9" ht="15.75" thickBot="1" x14ac:dyDescent="0.3">
      <c r="A109" s="1890"/>
      <c r="B109" s="1928"/>
      <c r="C109" s="1929"/>
      <c r="D109" s="1930"/>
      <c r="E109" s="1930"/>
      <c r="F109" s="1930"/>
      <c r="G109" s="1930"/>
      <c r="H109" s="1828"/>
      <c r="I109" s="169">
        <v>109</v>
      </c>
    </row>
    <row r="110" spans="1:9" ht="16.5" thickBot="1" x14ac:dyDescent="0.3">
      <c r="A110" s="1946">
        <v>90</v>
      </c>
      <c r="B110" s="1947" t="s">
        <v>778</v>
      </c>
      <c r="C110" s="1948" t="s">
        <v>87</v>
      </c>
      <c r="D110" s="1949">
        <v>0</v>
      </c>
      <c r="E110" s="1950">
        <f>D110</f>
        <v>0</v>
      </c>
      <c r="F110" s="1951">
        <v>0</v>
      </c>
      <c r="G110" s="1951">
        <f>F110</f>
        <v>0</v>
      </c>
      <c r="H110" s="1952" t="s">
        <v>779</v>
      </c>
      <c r="I110" s="2425">
        <v>110</v>
      </c>
    </row>
    <row r="111" spans="1:9" ht="15.75" outlineLevel="1" thickBot="1" x14ac:dyDescent="0.3">
      <c r="A111" s="1896"/>
      <c r="B111" s="1781"/>
      <c r="C111" s="1897"/>
      <c r="D111" s="1898"/>
      <c r="E111" s="1898"/>
      <c r="F111" s="1898"/>
      <c r="G111" s="1898"/>
      <c r="H111" s="1818"/>
      <c r="I111" s="1253">
        <v>111</v>
      </c>
    </row>
    <row r="112" spans="1:9" ht="19.5" outlineLevel="1" thickBot="1" x14ac:dyDescent="0.3">
      <c r="A112" s="1932"/>
      <c r="B112" s="1933" t="s">
        <v>973</v>
      </c>
      <c r="C112" s="1934"/>
      <c r="D112" s="1935"/>
      <c r="E112" s="1935"/>
      <c r="F112" s="1935"/>
      <c r="G112" s="1935"/>
      <c r="H112" s="1990"/>
      <c r="I112" s="2263">
        <v>112</v>
      </c>
    </row>
    <row r="113" spans="1:9" ht="30" outlineLevel="1" x14ac:dyDescent="0.25">
      <c r="A113" s="1920">
        <v>91</v>
      </c>
      <c r="B113" s="89" t="str">
        <f>"Buitengewone uitgaven (minus een drempel van € "&amp;ROUND(Basisgegevens!Q147,0)&amp;" respectievelijk € "&amp;ROUND(Basisgegevens!R147,0)&amp;")"</f>
        <v>Buitengewone uitgaven (minus een drempel van € 0 respectievelijk € 0)</v>
      </c>
      <c r="C113" s="202" t="s">
        <v>77</v>
      </c>
      <c r="D113" s="961">
        <v>0</v>
      </c>
      <c r="E113" s="1921">
        <f>D113</f>
        <v>0</v>
      </c>
      <c r="F113" s="961">
        <v>0</v>
      </c>
      <c r="G113" s="1222">
        <f>F113</f>
        <v>0</v>
      </c>
      <c r="H113" s="1817" t="s">
        <v>185</v>
      </c>
      <c r="I113" s="2418">
        <v>113</v>
      </c>
    </row>
    <row r="114" spans="1:9" outlineLevel="1" x14ac:dyDescent="0.25">
      <c r="A114" s="1488" t="str">
        <f>Basisgegevens!L184</f>
        <v>92a</v>
      </c>
      <c r="B114" s="1769" t="str">
        <f>"OEW: "&amp;Basisgegevens!M184&amp;" (Woongenot)"</f>
        <v>OEW: Eigen Woning Forfait betaald als partneralimentatie (Woongenot)</v>
      </c>
      <c r="C114" s="200" t="s">
        <v>77</v>
      </c>
      <c r="D114" s="1221">
        <f>IF(BGOEWRekenModule="Nee",0,BGOEW92aEWFPA_AP)</f>
        <v>0</v>
      </c>
      <c r="E114" s="948" t="s">
        <v>783</v>
      </c>
      <c r="F114" s="1221">
        <f>IF(BGOEWRekenModule="Nee",0,BGOEW92aEWFPA_AG)</f>
        <v>0</v>
      </c>
      <c r="G114" s="919" t="s">
        <v>783</v>
      </c>
      <c r="H114" s="1817" t="s">
        <v>1049</v>
      </c>
      <c r="I114" s="174">
        <v>114</v>
      </c>
    </row>
    <row r="115" spans="1:9" ht="60" customHeight="1" outlineLevel="1" thickBot="1" x14ac:dyDescent="0.3">
      <c r="A115" s="1498">
        <v>92</v>
      </c>
      <c r="B115" s="575" t="str">
        <f>CONCATENATE("Scholingsuitgaven (minus een drempel van € ",ROUND(Basisgegevens!N199,0)," / maximaal aftrekbaar: € ",ROUND(Basisgegevens!O199,0),")")</f>
        <v>Scholingsuitgaven (minus een drempel van € 0 / maximaal aftrekbaar: € 0)</v>
      </c>
      <c r="C115" s="1143" t="s">
        <v>77</v>
      </c>
      <c r="D115" s="1144">
        <v>0</v>
      </c>
      <c r="E115" s="1144">
        <v>0</v>
      </c>
      <c r="F115" s="1144">
        <v>0</v>
      </c>
      <c r="G115" s="643"/>
      <c r="H115" s="1807" t="s">
        <v>689</v>
      </c>
      <c r="I115" s="2426">
        <v>115</v>
      </c>
    </row>
    <row r="116" spans="1:9" ht="16.5" thickBot="1" x14ac:dyDescent="0.3">
      <c r="A116" s="1487">
        <v>93</v>
      </c>
      <c r="B116" s="187" t="s">
        <v>29</v>
      </c>
      <c r="C116" s="406" t="s">
        <v>88</v>
      </c>
      <c r="D116" s="924">
        <f>SUM(D113:D115)</f>
        <v>0</v>
      </c>
      <c r="E116" s="924">
        <f>SUM(E113:E115)</f>
        <v>0</v>
      </c>
      <c r="F116" s="924">
        <f>SUM(F113:F115)</f>
        <v>0</v>
      </c>
      <c r="G116" s="924">
        <f>SUM(G113:G115)</f>
        <v>0</v>
      </c>
      <c r="H116" s="1798" t="s">
        <v>304</v>
      </c>
      <c r="I116" s="601">
        <v>116</v>
      </c>
    </row>
    <row r="117" spans="1:9" ht="15.75" thickBot="1" x14ac:dyDescent="0.3">
      <c r="A117" s="1896"/>
      <c r="B117" s="2277"/>
      <c r="C117" s="2295"/>
      <c r="D117" s="2296"/>
      <c r="E117" s="2296"/>
      <c r="F117" s="2296"/>
      <c r="G117" s="2296"/>
      <c r="H117" s="1818"/>
      <c r="I117" s="1253">
        <v>117</v>
      </c>
    </row>
    <row r="118" spans="1:9" ht="19.5" thickBot="1" x14ac:dyDescent="0.3">
      <c r="A118" s="1932"/>
      <c r="B118" s="1933" t="s">
        <v>296</v>
      </c>
      <c r="C118" s="1934"/>
      <c r="D118" s="1935"/>
      <c r="E118" s="1935"/>
      <c r="F118" s="1935"/>
      <c r="G118" s="1935"/>
      <c r="H118" s="2410"/>
      <c r="I118" s="2263">
        <v>118</v>
      </c>
    </row>
    <row r="119" spans="1:9" outlineLevel="1" x14ac:dyDescent="0.25">
      <c r="A119" s="2297">
        <f>A56</f>
        <v>64</v>
      </c>
      <c r="B119" s="409" t="str">
        <f>B56</f>
        <v>Belastbaar loon:</v>
      </c>
      <c r="C119" s="2281" t="str">
        <f>C56</f>
        <v>(a)</v>
      </c>
      <c r="D119" s="2298">
        <f>AL64BelastbaarLoon_AP</f>
        <v>0</v>
      </c>
      <c r="E119" s="2298">
        <f>E56</f>
        <v>0</v>
      </c>
      <c r="F119" s="2298">
        <f>AL64BelastbaarLoon_AG</f>
        <v>0</v>
      </c>
      <c r="G119" s="925">
        <f>G56</f>
        <v>0</v>
      </c>
      <c r="H119" s="1821" t="s">
        <v>297</v>
      </c>
      <c r="I119" s="2427">
        <v>119</v>
      </c>
    </row>
    <row r="120" spans="1:9" outlineLevel="1" x14ac:dyDescent="0.25">
      <c r="A120" s="2285">
        <f>A75</f>
        <v>75</v>
      </c>
      <c r="B120" s="321" t="str">
        <f>B75</f>
        <v>Belastbare winst uit onderneming:</v>
      </c>
      <c r="C120" s="1230" t="str">
        <f>C75</f>
        <v>(b)</v>
      </c>
      <c r="D120" s="2074">
        <f>AL75BelastbareWinst_AP</f>
        <v>0</v>
      </c>
      <c r="E120" s="2074">
        <f>E75</f>
        <v>0</v>
      </c>
      <c r="F120" s="2074">
        <f>AL75BelastbareWinst_AG</f>
        <v>0</v>
      </c>
      <c r="G120" s="312">
        <f>G75</f>
        <v>0</v>
      </c>
      <c r="H120" s="1196" t="s">
        <v>297</v>
      </c>
      <c r="I120" s="998">
        <v>120</v>
      </c>
    </row>
    <row r="121" spans="1:9" outlineLevel="1" x14ac:dyDescent="0.25">
      <c r="A121" s="2285">
        <f>A80</f>
        <v>78</v>
      </c>
      <c r="B121" s="321" t="str">
        <f>B80</f>
        <v>Belastbaar resultaat uit overige werkzaamheden:</v>
      </c>
      <c r="C121" s="1230" t="str">
        <f>C80</f>
        <v xml:space="preserve">(c) </v>
      </c>
      <c r="D121" s="2074">
        <f>AL78OverigeWerkz_AP</f>
        <v>0</v>
      </c>
      <c r="E121" s="2074">
        <f>E80</f>
        <v>0</v>
      </c>
      <c r="F121" s="2074">
        <f>AL78OverigeWerkz_AG</f>
        <v>0</v>
      </c>
      <c r="G121" s="312">
        <f>G80</f>
        <v>0</v>
      </c>
      <c r="H121" s="1196" t="s">
        <v>297</v>
      </c>
      <c r="I121" s="998">
        <v>121</v>
      </c>
    </row>
    <row r="122" spans="1:9" s="2063" customFormat="1" ht="30" customHeight="1" outlineLevel="1" x14ac:dyDescent="0.25">
      <c r="A122" s="2286" t="str">
        <f>A84</f>
        <v>79a</v>
      </c>
      <c r="B122" s="2283" t="str">
        <f>B84</f>
        <v>VEW: De na scheiding door de ex-partner betaalde hypotheeklasten als partneralimentatie  (zie "Basisgegevens" onder 138)</v>
      </c>
      <c r="C122" s="1761"/>
      <c r="D122" s="2290">
        <f>D84</f>
        <v>0</v>
      </c>
      <c r="E122" s="2291" t="s">
        <v>783</v>
      </c>
      <c r="F122" s="2294">
        <f>F84</f>
        <v>0</v>
      </c>
      <c r="G122" s="1784" t="s">
        <v>783</v>
      </c>
      <c r="H122" s="2062"/>
      <c r="I122" s="2428">
        <v>122</v>
      </c>
    </row>
    <row r="123" spans="1:9" outlineLevel="1" x14ac:dyDescent="0.25">
      <c r="A123" s="2285">
        <f>A86</f>
        <v>81</v>
      </c>
      <c r="B123" s="321" t="str">
        <f>B86</f>
        <v>Belastbare periodieke uitkeringen en verstrekkingen:</v>
      </c>
      <c r="C123" s="1230" t="str">
        <f>C86</f>
        <v>(d)</v>
      </c>
      <c r="D123" s="2074">
        <f>AL81Periodieken_AP</f>
        <v>0</v>
      </c>
      <c r="E123" s="2292">
        <f>E86</f>
        <v>0</v>
      </c>
      <c r="F123" s="2292">
        <f>AL81Periodieken_AG</f>
        <v>0</v>
      </c>
      <c r="G123" s="918">
        <f>G86</f>
        <v>0</v>
      </c>
      <c r="H123" s="1196" t="s">
        <v>297</v>
      </c>
      <c r="I123" s="998">
        <v>123</v>
      </c>
    </row>
    <row r="124" spans="1:9" outlineLevel="1" x14ac:dyDescent="0.25">
      <c r="A124" s="2285">
        <f>A91</f>
        <v>81</v>
      </c>
      <c r="B124" s="321" t="str">
        <f>B91</f>
        <v>OEW: Totaal fictief PA-inkomen verkregen via EWF / Rente:</v>
      </c>
      <c r="C124" s="2288"/>
      <c r="D124" s="2074">
        <f>AL81OEWFictiefInk_AP</f>
        <v>0</v>
      </c>
      <c r="E124" s="2291" t="s">
        <v>783</v>
      </c>
      <c r="F124" s="2292">
        <f>AL81OEWFictiefInk_AG</f>
        <v>0</v>
      </c>
      <c r="G124" s="1784" t="s">
        <v>783</v>
      </c>
      <c r="H124" s="1196" t="s">
        <v>297</v>
      </c>
      <c r="I124" s="998">
        <v>124</v>
      </c>
    </row>
    <row r="125" spans="1:9" ht="15.75" outlineLevel="1" thickBot="1" x14ac:dyDescent="0.3">
      <c r="A125" s="2285">
        <f>A102</f>
        <v>85</v>
      </c>
      <c r="B125" s="321" t="str">
        <f>B102</f>
        <v>Belastbare inkomsten uit eigen woning:</v>
      </c>
      <c r="C125" s="1231" t="str">
        <f>C102</f>
        <v xml:space="preserve">(e) </v>
      </c>
      <c r="D125" s="2291" t="s">
        <v>783</v>
      </c>
      <c r="E125" s="2291" t="s">
        <v>783</v>
      </c>
      <c r="F125" s="2291" t="s">
        <v>783</v>
      </c>
      <c r="G125" s="1784" t="s">
        <v>269</v>
      </c>
      <c r="H125" s="1198" t="s">
        <v>929</v>
      </c>
      <c r="I125" s="998">
        <v>125</v>
      </c>
    </row>
    <row r="126" spans="1:9" outlineLevel="1" x14ac:dyDescent="0.25">
      <c r="A126" s="2285">
        <f>A108</f>
        <v>89</v>
      </c>
      <c r="B126" s="321" t="str">
        <f>B108</f>
        <v>Uitgaven voor inkomensvoorziening:</v>
      </c>
      <c r="C126" s="2281" t="str">
        <f>C108</f>
        <v>(f)</v>
      </c>
      <c r="D126" s="2074">
        <f>AL89Inkomensvoorz_AP</f>
        <v>0</v>
      </c>
      <c r="E126" s="2074">
        <f>E108</f>
        <v>0</v>
      </c>
      <c r="F126" s="2074">
        <f>AL89Inkomensvoorz_AG</f>
        <v>0</v>
      </c>
      <c r="G126" s="312">
        <f>G108</f>
        <v>0</v>
      </c>
      <c r="H126" s="1821" t="s">
        <v>297</v>
      </c>
      <c r="I126" s="998">
        <v>126</v>
      </c>
    </row>
    <row r="127" spans="1:9" outlineLevel="1" x14ac:dyDescent="0.25">
      <c r="A127" s="2285">
        <f>A110</f>
        <v>90</v>
      </c>
      <c r="B127" s="321" t="str">
        <f>B110</f>
        <v>Uitgaven voor kinderopvang (vervallen):</v>
      </c>
      <c r="C127" s="1230" t="str">
        <f>C110</f>
        <v>(g)</v>
      </c>
      <c r="D127" s="2074">
        <f>AL90Kinderopvang_AP</f>
        <v>0</v>
      </c>
      <c r="E127" s="2074">
        <f>E110</f>
        <v>0</v>
      </c>
      <c r="F127" s="2074">
        <f>AL90Kinderopvang_AG</f>
        <v>0</v>
      </c>
      <c r="G127" s="312">
        <f>G110</f>
        <v>0</v>
      </c>
      <c r="H127" s="1196" t="s">
        <v>297</v>
      </c>
      <c r="I127" s="998">
        <v>127</v>
      </c>
    </row>
    <row r="128" spans="1:9" ht="15.75" outlineLevel="1" thickBot="1" x14ac:dyDescent="0.3">
      <c r="A128" s="2287">
        <f>A116</f>
        <v>93</v>
      </c>
      <c r="B128" s="1229" t="str">
        <f>B116</f>
        <v>Persoonsgebonden aftrek:</v>
      </c>
      <c r="C128" s="1231" t="str">
        <f>C116</f>
        <v>(h)</v>
      </c>
      <c r="D128" s="1875">
        <f>AL93PersGebAftrek_AP</f>
        <v>0</v>
      </c>
      <c r="E128" s="1875">
        <f>E116</f>
        <v>0</v>
      </c>
      <c r="F128" s="1875">
        <f>AL93PersGebAftrek_AG</f>
        <v>0</v>
      </c>
      <c r="G128" s="314">
        <f>G116</f>
        <v>0</v>
      </c>
      <c r="H128" s="1822" t="s">
        <v>297</v>
      </c>
      <c r="I128" s="999">
        <v>128</v>
      </c>
    </row>
    <row r="129" spans="1:9" ht="16.5" thickBot="1" x14ac:dyDescent="0.3">
      <c r="A129" s="2282">
        <v>94</v>
      </c>
      <c r="B129" s="2109" t="s">
        <v>811</v>
      </c>
      <c r="C129" s="2284"/>
      <c r="D129" s="2289">
        <f>SUM(D119:D125)-SUM(D126:D128)</f>
        <v>0</v>
      </c>
      <c r="E129" s="2289">
        <f>SUM(E119:E125)-SUM(E126:E128)</f>
        <v>0</v>
      </c>
      <c r="F129" s="2293">
        <f>SUM(F119:F125)-SUM(F126:F128)</f>
        <v>0</v>
      </c>
      <c r="G129" s="2289">
        <f>SUM(G119:G125)-SUM(G126:G128)</f>
        <v>0</v>
      </c>
      <c r="H129" s="1823" t="s">
        <v>183</v>
      </c>
      <c r="I129" s="2429">
        <v>129</v>
      </c>
    </row>
    <row r="130" spans="1:9" outlineLevel="1" x14ac:dyDescent="0.25">
      <c r="A130" s="1484"/>
      <c r="B130" s="320" t="str">
        <f>Basisgegevens!N8&amp;" / "&amp;Basisgegevens!R8</f>
        <v>1: 0 tot 73031 tarief: 36,93% - Max. 26970 / 1: 0 tot 73031 tarief: 36,93% - Max. 26970</v>
      </c>
      <c r="C130" s="202" t="s">
        <v>77</v>
      </c>
      <c r="D130" s="925">
        <f>Basisgegevens!M8</f>
        <v>0</v>
      </c>
      <c r="E130" s="925">
        <f>Basisgegevens!T8</f>
        <v>0</v>
      </c>
      <c r="F130" s="1290">
        <f>Basisgegevens!Q8</f>
        <v>0</v>
      </c>
      <c r="G130" s="925">
        <f>Basisgegevens!U8</f>
        <v>0</v>
      </c>
      <c r="H130" s="1758"/>
      <c r="I130" s="70">
        <v>130</v>
      </c>
    </row>
    <row r="131" spans="1:9" outlineLevel="1" x14ac:dyDescent="0.25">
      <c r="A131" s="1485"/>
      <c r="B131" s="371" t="str">
        <f>Basisgegevens!N9&amp;" / "&amp;Basisgegevens!R9</f>
        <v>2: vanaf 73031 tarief: 49,5% / 2: vanaf 73031 tarief: 49,5%</v>
      </c>
      <c r="C131" s="200" t="s">
        <v>77</v>
      </c>
      <c r="D131" s="312">
        <f>Basisgegevens!M9</f>
        <v>0</v>
      </c>
      <c r="E131" s="918">
        <f>Basisgegevens!T9</f>
        <v>0</v>
      </c>
      <c r="F131" s="1335">
        <f>Basisgegevens!Q9</f>
        <v>0</v>
      </c>
      <c r="G131" s="312">
        <f>Basisgegevens!U9</f>
        <v>0</v>
      </c>
      <c r="H131" s="1806"/>
      <c r="I131" s="69">
        <v>131</v>
      </c>
    </row>
    <row r="132" spans="1:9" outlineLevel="1" x14ac:dyDescent="0.25">
      <c r="A132" s="1484"/>
      <c r="B132" s="320" t="str">
        <f>Basisgegevens!N10&amp;" / "&amp;Basisgegevens!R10</f>
        <v xml:space="preserve">3: n.v.t / </v>
      </c>
      <c r="C132" s="202" t="s">
        <v>77</v>
      </c>
      <c r="D132" s="925">
        <f>Basisgegevens!M10</f>
        <v>0</v>
      </c>
      <c r="E132" s="925">
        <f>Basisgegevens!T10</f>
        <v>0</v>
      </c>
      <c r="F132" s="1290">
        <f>Basisgegevens!Q10</f>
        <v>0</v>
      </c>
      <c r="G132" s="925">
        <f>Basisgegevens!U10</f>
        <v>0</v>
      </c>
      <c r="H132" s="1806"/>
      <c r="I132" s="70">
        <v>132</v>
      </c>
    </row>
    <row r="133" spans="1:9" ht="30" customHeight="1" outlineLevel="1" thickBot="1" x14ac:dyDescent="0.3">
      <c r="A133" s="1485"/>
      <c r="B133" s="1770" t="s">
        <v>955</v>
      </c>
      <c r="C133" s="202" t="s">
        <v>77</v>
      </c>
      <c r="D133" s="925">
        <f>IF(D136&lt;=0,0,D136*(BGBelastingTariefSchijf2-BGBelastingTariefBeperking))</f>
        <v>0</v>
      </c>
      <c r="E133" s="925">
        <f>IF(E136&lt;=0,0,E136*(BGBelastingTariefSchijf2-BGBelastingTariefBeperking))</f>
        <v>0</v>
      </c>
      <c r="F133" s="925">
        <f>IF(F136&lt;=0,0,F136*(BGBelastingTariefSchijf2-BGBelastingTariefBeperking))</f>
        <v>0</v>
      </c>
      <c r="G133" s="925">
        <f>IF(G136&lt;=0,0,G136*(BGBelastingTariefSchijf2-BGBelastingTariefBeperking))</f>
        <v>0</v>
      </c>
      <c r="H133" s="1844" t="s">
        <v>954</v>
      </c>
      <c r="I133" s="69">
        <v>133</v>
      </c>
    </row>
    <row r="134" spans="1:9" ht="16.5" thickBot="1" x14ac:dyDescent="0.3">
      <c r="A134" s="1501">
        <v>95</v>
      </c>
      <c r="B134" s="197" t="s">
        <v>30</v>
      </c>
      <c r="C134" s="210"/>
      <c r="D134" s="929">
        <f>SUM(D130:D133)</f>
        <v>0</v>
      </c>
      <c r="E134" s="929">
        <f>SUM(E130:E133)</f>
        <v>0</v>
      </c>
      <c r="F134" s="1765">
        <f>SUM(F130:F133)</f>
        <v>0</v>
      </c>
      <c r="G134" s="929">
        <f>SUM(G130:G133)</f>
        <v>0</v>
      </c>
      <c r="H134" s="1824"/>
      <c r="I134" s="2430">
        <v>134</v>
      </c>
    </row>
    <row r="135" spans="1:9" x14ac:dyDescent="0.25">
      <c r="A135" s="1593"/>
      <c r="B135" s="1789" t="s">
        <v>782</v>
      </c>
      <c r="C135" s="199"/>
      <c r="D135" s="311">
        <f>SUM(D69:D74)+AL93PersGebAftrek_AP</f>
        <v>0</v>
      </c>
      <c r="E135" s="311">
        <f>SUM(D69:D74)+D113</f>
        <v>0</v>
      </c>
      <c r="F135" s="1294">
        <f>SUM(F69:F74)+AL93PersGebAftrek_AG</f>
        <v>0</v>
      </c>
      <c r="G135" s="311">
        <f>SUM(F69:F74)+F113</f>
        <v>0</v>
      </c>
      <c r="H135" s="1818" t="s">
        <v>781</v>
      </c>
      <c r="I135" s="28">
        <v>135</v>
      </c>
    </row>
    <row r="136" spans="1:9" ht="15.75" outlineLevel="1" thickBot="1" x14ac:dyDescent="0.3">
      <c r="A136" s="1953"/>
      <c r="B136" s="1954" t="str">
        <f>"Bedrag aan aftrekposten waar tariefsbeperking voor geldt bij inkomen &gt; € "&amp;Basisgegevens!N16</f>
        <v>Bedrag aan aftrekposten waar tariefsbeperking voor geldt bij inkomen &gt; € 73031</v>
      </c>
      <c r="C136" s="1762"/>
      <c r="D136" s="933">
        <f>IF(AL94VerzInkomen_AP-BGBelastingbedragSchijf3&lt;=0,0,IF(AL94VerzInkomen_AP-BGBelastingbedragSchijf3&lt;=SUM(D69:D74)+AL93PersGebAftrek_AP,AL94VerzInkomen_AP-BGBelastingbedragSchijf3,SUM(D69:D74)+AL93PersGebAftrek_AP))</f>
        <v>0</v>
      </c>
      <c r="E136" s="933">
        <f>IF(E129-BGBelastingbedragSchijf3&lt;=0,0,IF(E129-BGBelastingbedragSchijf3&lt;=SUM(D69:D74)+D116,E129-BGBelastingbedragSchijf3,SUM(D69:D74)+D116))</f>
        <v>0</v>
      </c>
      <c r="F136" s="1295">
        <f>IF(AL94VerzInkomen_AG-BGBelastingbedragSchijf3&lt;=0,0,IF(AL94VerzInkomen_AG-BGBelastingbedragSchijf3&lt;=SUM(F69:F74)+F100+AL93PersGebAftrek_AG,AL94VerzInkomen_AG-BGBelastingbedragSchijf3,SUM(F69:F74)+F100+AL93PersGebAftrek_AG))</f>
        <v>0</v>
      </c>
      <c r="G136" s="933">
        <f>IF(G129-BGBelastingbedragSchijf3&lt;=0,0,IF(G129-BGBelastingbedragSchijf3&lt;=SUM(F69:F74)+SUM(F97:F101)+F116,G129-BGBelastingbedragSchijf3,SUM(F69:F74)+SUM(F97:F101)+F116))</f>
        <v>0</v>
      </c>
      <c r="H136" s="1813" t="s">
        <v>954</v>
      </c>
      <c r="I136" s="332">
        <v>136</v>
      </c>
    </row>
    <row r="137" spans="1:9" ht="15.75" outlineLevel="1" thickBot="1" x14ac:dyDescent="0.3">
      <c r="A137" s="1890"/>
      <c r="B137" s="115"/>
      <c r="C137" s="1750"/>
      <c r="D137" s="1865"/>
      <c r="E137" s="1865"/>
      <c r="F137" s="1865"/>
      <c r="G137" s="1865"/>
      <c r="H137" s="1828"/>
      <c r="I137" s="169">
        <v>137</v>
      </c>
    </row>
    <row r="138" spans="1:9" outlineLevel="1" x14ac:dyDescent="0.25">
      <c r="A138" s="95"/>
      <c r="B138" s="1955" t="s">
        <v>785</v>
      </c>
      <c r="C138" s="202"/>
      <c r="D138" s="925">
        <f>AL85InkomstenEW_AP/12*-1</f>
        <v>0</v>
      </c>
      <c r="E138" s="1962" t="s">
        <v>269</v>
      </c>
      <c r="F138" s="1290">
        <f>AL85InkomstenEW_AG/12*-1</f>
        <v>0</v>
      </c>
      <c r="G138" s="1962" t="s">
        <v>269</v>
      </c>
      <c r="H138" s="1817" t="s">
        <v>930</v>
      </c>
      <c r="I138" s="70">
        <v>138</v>
      </c>
    </row>
    <row r="139" spans="1:9" ht="15.75" thickBot="1" x14ac:dyDescent="0.3">
      <c r="A139" s="1953"/>
      <c r="B139" s="410" t="s">
        <v>784</v>
      </c>
      <c r="C139" s="194"/>
      <c r="D139" s="933">
        <f>D138*BGBelastingTariefSchijf1</f>
        <v>0</v>
      </c>
      <c r="E139" s="1962" t="s">
        <v>269</v>
      </c>
      <c r="F139" s="1295">
        <f>F138*BGBelastingTariefSchijf1</f>
        <v>0</v>
      </c>
      <c r="G139" s="1962" t="s">
        <v>269</v>
      </c>
      <c r="H139" s="94" t="s">
        <v>931</v>
      </c>
      <c r="I139" s="332">
        <v>139</v>
      </c>
    </row>
    <row r="140" spans="1:9" ht="15.75" thickBot="1" x14ac:dyDescent="0.3">
      <c r="A140" s="1969"/>
      <c r="B140" s="1970"/>
      <c r="C140" s="1971"/>
      <c r="D140" s="1972"/>
      <c r="E140" s="1972"/>
      <c r="F140" s="1972"/>
      <c r="G140" s="1972"/>
      <c r="H140" s="2049"/>
      <c r="I140" s="2409">
        <v>140</v>
      </c>
    </row>
    <row r="141" spans="1:9" ht="30.75" thickBot="1" x14ac:dyDescent="0.3">
      <c r="A141" s="1973"/>
      <c r="B141" s="1974" t="s">
        <v>31</v>
      </c>
      <c r="C141" s="1975"/>
      <c r="D141" s="934"/>
      <c r="E141" s="934"/>
      <c r="F141" s="934"/>
      <c r="G141" s="1976"/>
      <c r="H141" s="1958" t="s">
        <v>216</v>
      </c>
      <c r="I141" s="2412">
        <v>141</v>
      </c>
    </row>
    <row r="142" spans="1:9" outlineLevel="1" x14ac:dyDescent="0.25">
      <c r="A142" s="1484">
        <v>96</v>
      </c>
      <c r="B142" s="89" t="s">
        <v>1051</v>
      </c>
      <c r="C142" s="202" t="s">
        <v>77</v>
      </c>
      <c r="D142" s="961">
        <v>0</v>
      </c>
      <c r="E142" s="942">
        <f>D142</f>
        <v>0</v>
      </c>
      <c r="F142" s="961">
        <v>0</v>
      </c>
      <c r="G142" s="925">
        <f>F142</f>
        <v>0</v>
      </c>
      <c r="H142" s="1817" t="s">
        <v>186</v>
      </c>
      <c r="I142" s="70">
        <v>142</v>
      </c>
    </row>
    <row r="143" spans="1:9" outlineLevel="1" x14ac:dyDescent="0.25">
      <c r="A143" s="1502">
        <v>97</v>
      </c>
      <c r="B143" s="571" t="s">
        <v>33</v>
      </c>
      <c r="C143" s="572"/>
      <c r="D143" s="931">
        <v>0</v>
      </c>
      <c r="E143" s="940">
        <v>0</v>
      </c>
      <c r="F143" s="931">
        <v>0</v>
      </c>
      <c r="G143" s="931">
        <v>0</v>
      </c>
      <c r="H143" s="1815" t="s">
        <v>230</v>
      </c>
      <c r="I143" s="2095">
        <v>143</v>
      </c>
    </row>
    <row r="144" spans="1:9" outlineLevel="1" x14ac:dyDescent="0.25">
      <c r="A144" s="1485">
        <v>98</v>
      </c>
      <c r="B144" s="299" t="s">
        <v>372</v>
      </c>
      <c r="C144" s="200" t="s">
        <v>77</v>
      </c>
      <c r="D144" s="312">
        <f>SUM(D142:D143)</f>
        <v>0</v>
      </c>
      <c r="E144" s="937">
        <f>D144</f>
        <v>0</v>
      </c>
      <c r="F144" s="312">
        <f>SUM(F142:F143)</f>
        <v>0</v>
      </c>
      <c r="G144" s="312">
        <f>F144</f>
        <v>0</v>
      </c>
      <c r="H144" s="1806" t="s">
        <v>186</v>
      </c>
      <c r="I144" s="69">
        <v>144</v>
      </c>
    </row>
    <row r="145" spans="1:9" ht="75.75" outlineLevel="1" thickBot="1" x14ac:dyDescent="0.3">
      <c r="A145" s="1488">
        <v>99</v>
      </c>
      <c r="B145" s="97" t="s">
        <v>1052</v>
      </c>
      <c r="C145" s="208" t="s">
        <v>72</v>
      </c>
      <c r="D145" s="960">
        <v>0</v>
      </c>
      <c r="E145" s="941">
        <f>D145</f>
        <v>0</v>
      </c>
      <c r="F145" s="960">
        <v>0</v>
      </c>
      <c r="G145" s="927">
        <f>F145</f>
        <v>0</v>
      </c>
      <c r="H145" s="1807" t="s">
        <v>1083</v>
      </c>
      <c r="I145" s="174">
        <v>145</v>
      </c>
    </row>
    <row r="146" spans="1:9" ht="16.5" thickBot="1" x14ac:dyDescent="0.3">
      <c r="A146" s="1500">
        <v>100</v>
      </c>
      <c r="B146" s="187" t="s">
        <v>229</v>
      </c>
      <c r="C146" s="211"/>
      <c r="D146" s="928">
        <f>IF(OR(D144=0,D145&gt;D144),0,D144-D145)</f>
        <v>0</v>
      </c>
      <c r="E146" s="944">
        <f>D146</f>
        <v>0</v>
      </c>
      <c r="F146" s="928">
        <f>IF(OR(F144=0,F145&gt;F144),0,F144-F145)</f>
        <v>0</v>
      </c>
      <c r="G146" s="928">
        <f>F146</f>
        <v>0</v>
      </c>
      <c r="H146" s="1825" t="s">
        <v>217</v>
      </c>
      <c r="I146" s="2431">
        <v>146</v>
      </c>
    </row>
    <row r="147" spans="1:9" ht="16.5" thickBot="1" x14ac:dyDescent="0.3">
      <c r="A147" s="1963">
        <v>101</v>
      </c>
      <c r="B147" s="1964" t="str">
        <f>CONCATENATE("Inkomstebelasting (vast tarief ",Basisgegevens!C217*100,"%) box II:")</f>
        <v>Inkomstebelasting (vast tarief 26,9%) box II:</v>
      </c>
      <c r="C147" s="1965"/>
      <c r="D147" s="1966">
        <f>Basisgegevens!$C217*D146</f>
        <v>0</v>
      </c>
      <c r="E147" s="1967">
        <f>Basisgegevens!$C217*E146</f>
        <v>0</v>
      </c>
      <c r="F147" s="1966">
        <f>Basisgegevens!$C217*F146</f>
        <v>0</v>
      </c>
      <c r="G147" s="1966">
        <f>Basisgegevens!$C217*G146</f>
        <v>0</v>
      </c>
      <c r="H147" s="1968"/>
      <c r="I147" s="2432">
        <v>147</v>
      </c>
    </row>
    <row r="148" spans="1:9" ht="15.75" thickBot="1" x14ac:dyDescent="0.3">
      <c r="A148" s="1896"/>
      <c r="B148" s="1781"/>
      <c r="C148" s="1897"/>
      <c r="D148" s="1898"/>
      <c r="E148" s="1898"/>
      <c r="F148" s="1898"/>
      <c r="G148" s="1898"/>
      <c r="H148" s="1828"/>
      <c r="I148" s="1253">
        <v>148</v>
      </c>
    </row>
    <row r="149" spans="1:9" ht="75.75" thickBot="1" x14ac:dyDescent="0.3">
      <c r="A149" s="1977"/>
      <c r="B149" s="1978" t="s">
        <v>32</v>
      </c>
      <c r="C149" s="1979"/>
      <c r="D149" s="947"/>
      <c r="E149" s="947"/>
      <c r="F149" s="947"/>
      <c r="G149" s="1980"/>
      <c r="H149" s="1958" t="s">
        <v>195</v>
      </c>
      <c r="I149" s="1845">
        <v>149</v>
      </c>
    </row>
    <row r="150" spans="1:9" outlineLevel="1" x14ac:dyDescent="0.25">
      <c r="A150" s="1484">
        <v>102</v>
      </c>
      <c r="B150" s="411" t="s">
        <v>34</v>
      </c>
      <c r="C150" s="203"/>
      <c r="D150" s="923"/>
      <c r="E150" s="943"/>
      <c r="F150" s="923"/>
      <c r="G150" s="923"/>
      <c r="H150" s="1826"/>
      <c r="I150" s="70">
        <v>150</v>
      </c>
    </row>
    <row r="151" spans="1:9" outlineLevel="1" x14ac:dyDescent="0.25">
      <c r="A151" s="1485"/>
      <c r="B151" s="87" t="str">
        <f>Basisgegevens!L209&amp;") "&amp;Basisgegevens!M209</f>
        <v>a) Bank- en spaartegoeden en contant geld</v>
      </c>
      <c r="C151" s="200" t="s">
        <v>77</v>
      </c>
      <c r="D151" s="313">
        <v>0</v>
      </c>
      <c r="E151" s="937">
        <f>D151</f>
        <v>0</v>
      </c>
      <c r="F151" s="313">
        <v>0</v>
      </c>
      <c r="G151" s="312">
        <f>F151</f>
        <v>0</v>
      </c>
      <c r="H151" s="1806" t="s">
        <v>186</v>
      </c>
      <c r="I151" s="69">
        <v>151</v>
      </c>
    </row>
    <row r="152" spans="1:9" outlineLevel="1" x14ac:dyDescent="0.25">
      <c r="A152" s="1485"/>
      <c r="B152" s="87" t="str">
        <f>Basisgegevens!L210&amp;") "&amp;Basisgegevens!M210</f>
        <v>b) Beleggingen/andere bezittingen incl. OEW</v>
      </c>
      <c r="C152" s="200" t="s">
        <v>77</v>
      </c>
      <c r="D152" s="313">
        <v>0</v>
      </c>
      <c r="E152" s="937">
        <f>D152</f>
        <v>0</v>
      </c>
      <c r="F152" s="313">
        <v>0</v>
      </c>
      <c r="G152" s="312">
        <f>F152</f>
        <v>0</v>
      </c>
      <c r="H152" s="1806" t="s">
        <v>186</v>
      </c>
      <c r="I152" s="69">
        <v>152</v>
      </c>
    </row>
    <row r="153" spans="1:9" ht="18" customHeight="1" outlineLevel="1" x14ac:dyDescent="0.25">
      <c r="A153" s="1488"/>
      <c r="B153" s="97" t="str">
        <f>Basisgegevens!L211&amp;") "&amp;Basisgegevens!M211</f>
        <v>c) Schulden</v>
      </c>
      <c r="C153" s="208" t="s">
        <v>72</v>
      </c>
      <c r="D153" s="960">
        <v>0</v>
      </c>
      <c r="E153" s="941">
        <f>D153</f>
        <v>0</v>
      </c>
      <c r="F153" s="960">
        <v>0</v>
      </c>
      <c r="G153" s="927">
        <f>F153</f>
        <v>0</v>
      </c>
      <c r="H153" s="1807" t="s">
        <v>186</v>
      </c>
      <c r="I153" s="174">
        <v>153</v>
      </c>
    </row>
    <row r="154" spans="1:9" ht="18" customHeight="1" outlineLevel="1" thickBot="1" x14ac:dyDescent="0.3">
      <c r="A154" s="1368"/>
      <c r="B154" s="2354"/>
      <c r="C154" s="1762"/>
      <c r="D154" s="2355"/>
      <c r="E154" s="945"/>
      <c r="F154" s="2355"/>
      <c r="G154" s="933"/>
      <c r="I154" s="332">
        <v>154</v>
      </c>
    </row>
    <row r="155" spans="1:9" ht="15.75" thickBot="1" x14ac:dyDescent="0.3">
      <c r="A155" s="1500">
        <v>103</v>
      </c>
      <c r="B155" s="196" t="s">
        <v>305</v>
      </c>
      <c r="C155" s="213"/>
      <c r="D155" s="928">
        <f>SUM(D151:D152)-D153</f>
        <v>0</v>
      </c>
      <c r="E155" s="944">
        <f>SUM(E151:E152)-E153</f>
        <v>0</v>
      </c>
      <c r="F155" s="928">
        <f>SUM(F151:F152)-F153</f>
        <v>0</v>
      </c>
      <c r="G155" s="928">
        <f>SUM(G151:G152)-G153</f>
        <v>0</v>
      </c>
      <c r="H155" s="1825" t="s">
        <v>1137</v>
      </c>
      <c r="I155" s="2431">
        <v>155</v>
      </c>
    </row>
    <row r="156" spans="1:9" outlineLevel="1" x14ac:dyDescent="0.25">
      <c r="A156" s="1485">
        <v>104</v>
      </c>
      <c r="B156" s="91" t="s">
        <v>139</v>
      </c>
      <c r="C156" s="209"/>
      <c r="D156" s="926"/>
      <c r="E156" s="938"/>
      <c r="F156" s="926"/>
      <c r="G156" s="926"/>
      <c r="H156" s="1806"/>
      <c r="I156" s="69">
        <v>156</v>
      </c>
    </row>
    <row r="157" spans="1:9" ht="15.75" outlineLevel="1" thickBot="1" x14ac:dyDescent="0.3">
      <c r="A157" s="1488"/>
      <c r="B157" s="90" t="str">
        <f>"Sparen en Beleggen: Waarde per 1 januari "&amp;BGJaarBerekening&amp;" van:"</f>
        <v>Sparen en Beleggen: Waarde per 1 januari 2023 van:</v>
      </c>
      <c r="C157" s="159"/>
      <c r="D157" s="952"/>
      <c r="E157" s="1317"/>
      <c r="F157" s="952"/>
      <c r="G157" s="952"/>
      <c r="H157" s="1807" t="s">
        <v>1023</v>
      </c>
      <c r="I157" s="174">
        <v>157</v>
      </c>
    </row>
    <row r="158" spans="1:9" ht="15.75" outlineLevel="1" thickBot="1" x14ac:dyDescent="0.3">
      <c r="A158" s="1238"/>
      <c r="B158" s="1753" t="str">
        <f>Basisgegevens!L209&amp;") "&amp;Basisgegevens!M209</f>
        <v>a) Bank- en spaartegoeden en contant geld</v>
      </c>
      <c r="C158" s="1754" t="s">
        <v>77</v>
      </c>
      <c r="D158" s="1755">
        <v>0</v>
      </c>
      <c r="E158" s="1756">
        <f>D158</f>
        <v>0</v>
      </c>
      <c r="F158" s="1755">
        <v>0</v>
      </c>
      <c r="G158" s="1757">
        <f>F158</f>
        <v>0</v>
      </c>
      <c r="H158" s="1818" t="s">
        <v>186</v>
      </c>
      <c r="I158" s="1253">
        <v>158</v>
      </c>
    </row>
    <row r="159" spans="1:9" outlineLevel="1" x14ac:dyDescent="0.25">
      <c r="A159" s="1593"/>
      <c r="B159" s="1771" t="str">
        <f>Basisgegevens!L210&amp;") "&amp;Basisgegevens!M210</f>
        <v>b) Beleggingen/andere bezittingen incl. OEW</v>
      </c>
      <c r="C159" s="199" t="s">
        <v>77</v>
      </c>
      <c r="D159" s="35">
        <v>0</v>
      </c>
      <c r="E159" s="935">
        <f>D159</f>
        <v>0</v>
      </c>
      <c r="F159" s="35">
        <v>0</v>
      </c>
      <c r="G159" s="311">
        <f>F159</f>
        <v>0</v>
      </c>
      <c r="H159" s="1758" t="s">
        <v>186</v>
      </c>
      <c r="I159" s="28">
        <v>159</v>
      </c>
    </row>
    <row r="160" spans="1:9" outlineLevel="1" x14ac:dyDescent="0.25">
      <c r="A160" s="158">
        <f>Basisgegevens!L185</f>
        <v>104</v>
      </c>
      <c r="B160" s="97" t="str">
        <f>"      OEW: "&amp;Basisgegevens!M185</f>
        <v xml:space="preserve">      OEW: Eigen Woning Forfait aandeel in  box 3</v>
      </c>
      <c r="C160" s="200" t="s">
        <v>77</v>
      </c>
      <c r="D160" s="312">
        <f>IF(BGOEWRekenModule="Nee",0,BGOEW104EWFBox3_AP)</f>
        <v>0</v>
      </c>
      <c r="E160" s="1348"/>
      <c r="F160" s="312">
        <f>IF(BGOEWRekenModule="Nee",0,BGOEW104EWFBox3_AG)</f>
        <v>0</v>
      </c>
      <c r="G160" s="1349"/>
      <c r="H160" s="1806"/>
      <c r="I160" s="174">
        <v>160</v>
      </c>
    </row>
    <row r="161" spans="1:9" ht="15.75" outlineLevel="1" thickBot="1" x14ac:dyDescent="0.3">
      <c r="A161" s="85"/>
      <c r="B161" s="88" t="s">
        <v>924</v>
      </c>
      <c r="C161" s="201" t="s">
        <v>77</v>
      </c>
      <c r="D161" s="314">
        <f>IF(OR(BGOEWRekenModule="Nee",D164=0),0,Basisgegevens!C172/2)</f>
        <v>0</v>
      </c>
      <c r="E161" s="1572"/>
      <c r="F161" s="314">
        <f>IF(OR(BGOEWRekenModule="Nee",F164=0),0,Basisgegevens!C172/2)</f>
        <v>0</v>
      </c>
      <c r="G161" s="1573"/>
      <c r="H161" s="1759"/>
      <c r="I161" s="30">
        <v>161</v>
      </c>
    </row>
    <row r="162" spans="1:9" ht="15.75" outlineLevel="1" thickBot="1" x14ac:dyDescent="0.3">
      <c r="A162" s="1953"/>
      <c r="B162" s="2356"/>
      <c r="C162" s="1915"/>
      <c r="D162" s="945"/>
      <c r="E162" s="2357"/>
      <c r="F162" s="945"/>
      <c r="G162" s="2358"/>
      <c r="I162" s="332">
        <v>162</v>
      </c>
    </row>
    <row r="163" spans="1:9" ht="15.75" outlineLevel="1" thickBot="1" x14ac:dyDescent="0.3">
      <c r="A163" s="1593"/>
      <c r="B163" s="1749" t="str">
        <f>Basisgegevens!L211&amp;") "&amp;Basisgegevens!M211</f>
        <v>c) Schulden</v>
      </c>
      <c r="C163" s="1750" t="s">
        <v>72</v>
      </c>
      <c r="D163" s="1751">
        <v>0</v>
      </c>
      <c r="E163" s="311">
        <f>D163</f>
        <v>0</v>
      </c>
      <c r="F163" s="1302">
        <v>0</v>
      </c>
      <c r="G163" s="311">
        <f>F163</f>
        <v>0</v>
      </c>
      <c r="H163" s="1758" t="s">
        <v>186</v>
      </c>
      <c r="I163" s="28">
        <v>163</v>
      </c>
    </row>
    <row r="164" spans="1:9" ht="15.75" outlineLevel="1" thickBot="1" x14ac:dyDescent="0.3">
      <c r="A164" s="85">
        <f>Basisgegevens!L193</f>
        <v>104</v>
      </c>
      <c r="B164" s="1772" t="str">
        <f>"      OEW: "&amp;Basisgegevens!M193</f>
        <v xml:space="preserve">      OEW: Aandeel in schuld van de Onverdeeld Eigen Woning in box 3 </v>
      </c>
      <c r="C164" s="1748" t="s">
        <v>72</v>
      </c>
      <c r="D164" s="1752">
        <f>IF(BGOEWRekenModule="Nee",0,BGOEW104SchuldBox3_AP)</f>
        <v>0</v>
      </c>
      <c r="E164" s="1573"/>
      <c r="F164" s="1042">
        <f>IF(BGOEWRekenModule="Nee",0,BGOEW104SchuldBox3_AG)</f>
        <v>0</v>
      </c>
      <c r="G164" s="1573"/>
      <c r="H164" s="1759"/>
      <c r="I164" s="30">
        <v>164</v>
      </c>
    </row>
    <row r="165" spans="1:9" outlineLevel="1" x14ac:dyDescent="0.25">
      <c r="A165" s="1484"/>
      <c r="B165" s="1760" t="s">
        <v>854</v>
      </c>
      <c r="C165" s="202" t="s">
        <v>72</v>
      </c>
      <c r="D165" s="925">
        <f>BGDrempelRendement</f>
        <v>3400</v>
      </c>
      <c r="E165" s="925">
        <f>BGDrempelRendement</f>
        <v>3400</v>
      </c>
      <c r="F165" s="925">
        <f>BGDrempelRendement</f>
        <v>3400</v>
      </c>
      <c r="G165" s="925">
        <f>BGDrempelRendement</f>
        <v>3400</v>
      </c>
      <c r="H165" s="1817"/>
      <c r="I165" s="70">
        <v>165</v>
      </c>
    </row>
    <row r="166" spans="1:9" outlineLevel="1" x14ac:dyDescent="0.25">
      <c r="A166" s="1485"/>
      <c r="B166" s="1571" t="s">
        <v>853</v>
      </c>
      <c r="C166" s="200" t="s">
        <v>72</v>
      </c>
      <c r="D166" s="312">
        <f>IF(BGDrempelRendement&gt;D163+D164,0,D163+D164-BGDrempelRendement)</f>
        <v>0</v>
      </c>
      <c r="E166" s="312">
        <f>IF(BGDrempelRendement&gt;E163+E164,0,E163+E164-BGDrempelRendement)</f>
        <v>0</v>
      </c>
      <c r="F166" s="312">
        <f>IF(BGDrempelRendement&gt;F163+F164,0,F163+F164-BGDrempelRendement)</f>
        <v>0</v>
      </c>
      <c r="G166" s="312">
        <f>IF(BGDrempelRendement&gt;G163+G164,0,G163+G164-BGDrempelRendement)</f>
        <v>0</v>
      </c>
      <c r="H166" s="1806"/>
      <c r="I166" s="69">
        <v>166</v>
      </c>
    </row>
    <row r="167" spans="1:9" outlineLevel="1" x14ac:dyDescent="0.25">
      <c r="A167" s="1485"/>
      <c r="B167" s="571" t="s">
        <v>188</v>
      </c>
      <c r="C167" s="200"/>
      <c r="D167" s="962">
        <v>0</v>
      </c>
      <c r="E167" s="1350">
        <v>0</v>
      </c>
      <c r="F167" s="962">
        <v>0</v>
      </c>
      <c r="G167" s="962">
        <v>0</v>
      </c>
      <c r="H167" s="1827" t="s">
        <v>173</v>
      </c>
      <c r="I167" s="69">
        <v>167</v>
      </c>
    </row>
    <row r="168" spans="1:9" outlineLevel="1" x14ac:dyDescent="0.25">
      <c r="A168" s="1504">
        <v>105</v>
      </c>
      <c r="B168" s="91" t="s">
        <v>139</v>
      </c>
      <c r="C168" s="378"/>
      <c r="D168" s="932">
        <f>SUM(D158:D161)-D166</f>
        <v>0</v>
      </c>
      <c r="E168" s="932">
        <f>SUM(E158:E161)-E166</f>
        <v>0</v>
      </c>
      <c r="F168" s="932">
        <f>SUM(F158:F161)-F166</f>
        <v>0</v>
      </c>
      <c r="G168" s="932">
        <f>SUM(G158:G161)-G166</f>
        <v>0</v>
      </c>
      <c r="H168" s="1806"/>
      <c r="I168" s="2433">
        <v>168</v>
      </c>
    </row>
    <row r="169" spans="1:9" ht="30" outlineLevel="1" x14ac:dyDescent="0.25">
      <c r="A169" s="1485">
        <v>106</v>
      </c>
      <c r="B169" s="87" t="str">
        <f>"Heffingsvrijvermogen (alleenstaande) a € "&amp;BGHeffingsvrijVermogen</f>
        <v>Heffingsvrijvermogen (alleenstaande) a € 57000</v>
      </c>
      <c r="C169" s="200" t="s">
        <v>72</v>
      </c>
      <c r="D169" s="312">
        <f>IF(OR(D168&gt;BGHeffingsvrijVermogen,D168&lt;0),BGHeffingsvrijVermogen,D168)</f>
        <v>0</v>
      </c>
      <c r="E169" s="312">
        <f>IF(OR(E168&gt;BGHeffingsvrijVermogen,E168&lt;0),BGHeffingsvrijVermogen,E168)</f>
        <v>0</v>
      </c>
      <c r="F169" s="312">
        <f>IF(OR(F168&gt;BGHeffingsvrijVermogen,F168&lt;0),BGHeffingsvrijVermogen,F168)</f>
        <v>0</v>
      </c>
      <c r="G169" s="312">
        <f>IF(OR(G168&gt;BGHeffingsvrijVermogen,G168&lt;0),BGHeffingsvrijVermogen,G168)</f>
        <v>0</v>
      </c>
      <c r="H169" s="1806" t="s">
        <v>194</v>
      </c>
      <c r="I169" s="69">
        <v>169</v>
      </c>
    </row>
    <row r="170" spans="1:9" ht="45.75" outlineLevel="1" thickBot="1" x14ac:dyDescent="0.3">
      <c r="A170" s="1488">
        <v>107</v>
      </c>
      <c r="B170" s="97" t="s">
        <v>187</v>
      </c>
      <c r="C170" s="208" t="s">
        <v>72</v>
      </c>
      <c r="D170" s="960">
        <v>0</v>
      </c>
      <c r="E170" s="941">
        <f>D170</f>
        <v>0</v>
      </c>
      <c r="F170" s="960">
        <v>0</v>
      </c>
      <c r="G170" s="927">
        <f>F170</f>
        <v>0</v>
      </c>
      <c r="H170" s="1807" t="s">
        <v>220</v>
      </c>
      <c r="I170" s="174">
        <v>170</v>
      </c>
    </row>
    <row r="171" spans="1:9" ht="15.75" thickBot="1" x14ac:dyDescent="0.3">
      <c r="A171" s="1500">
        <v>108</v>
      </c>
      <c r="B171" s="196" t="s">
        <v>855</v>
      </c>
      <c r="C171" s="211"/>
      <c r="D171" s="928">
        <f>IF(D168&lt;0,D168-D170,D168-SUM(D169:D170))</f>
        <v>0</v>
      </c>
      <c r="E171" s="928">
        <f>E168-SUM(E169:E170)</f>
        <v>0</v>
      </c>
      <c r="F171" s="928">
        <f>IF(F168&lt;0,F168-F170,F168-SUM(F169:F170))</f>
        <v>0</v>
      </c>
      <c r="G171" s="928">
        <f>G168-SUM(G169:G170)</f>
        <v>0</v>
      </c>
      <c r="H171" s="1825" t="s">
        <v>189</v>
      </c>
      <c r="I171" s="2431">
        <v>171</v>
      </c>
    </row>
    <row r="172" spans="1:9" ht="30.75" thickBot="1" x14ac:dyDescent="0.3">
      <c r="A172" s="1574"/>
      <c r="B172" s="1718" t="str">
        <f>"Voordeel uit sparen en beleggen (= Belastbaar Rendement):"</f>
        <v>Voordeel uit sparen en beleggen (= Belastbaar Rendement):</v>
      </c>
      <c r="C172" s="453"/>
      <c r="D172" s="470">
        <f>Basisgegevens!Q212</f>
        <v>0</v>
      </c>
      <c r="E172" s="2274">
        <f>Basisgegevens!V212</f>
        <v>0</v>
      </c>
      <c r="F172" s="2361">
        <f>Basisgegevens!R212</f>
        <v>0</v>
      </c>
      <c r="G172" s="470">
        <f>Basisgegevens!W212</f>
        <v>0</v>
      </c>
      <c r="H172" s="2353" t="s">
        <v>1138</v>
      </c>
      <c r="I172" s="169">
        <v>172</v>
      </c>
    </row>
    <row r="173" spans="1:9" outlineLevel="1" x14ac:dyDescent="0.25">
      <c r="A173" s="1484">
        <v>109</v>
      </c>
      <c r="B173" s="89" t="str">
        <f>CONCATENATE("Forfairtair rendement (a=",Basisgegevens!S209*100,"% / b=",Basisgegevens!S210*100,"% / c=",Basisgegevens!S211*100,"%)")</f>
        <v>Forfairtair rendement (a=0,36% / b=6,17% / c=2,57%)</v>
      </c>
      <c r="C173" s="202" t="s">
        <v>77</v>
      </c>
      <c r="D173" s="925">
        <f>IF(AL108GrondslagSenB_AP&lt;=0,0,Basisgegevens!Q212*(AL108GrondslagSenB_AP/D168))</f>
        <v>0</v>
      </c>
      <c r="E173" s="942">
        <f>IF(E171&lt;=0,0,Basisgegevens!V212*(E171/E168))</f>
        <v>0</v>
      </c>
      <c r="F173" s="2298">
        <f>IF(AL108GrondslagSenB_AG&lt;=0,0,Basisgegevens!R212*(AL108GrondslagSenB_AG/F168))</f>
        <v>0</v>
      </c>
      <c r="G173" s="925">
        <f>IF(G171&lt;=0,0,Basisgegevens!W212*(G171/G168))</f>
        <v>0</v>
      </c>
      <c r="H173" s="1817"/>
      <c r="I173" s="70">
        <v>173</v>
      </c>
    </row>
    <row r="174" spans="1:9" ht="75.75" outlineLevel="1" thickBot="1" x14ac:dyDescent="0.3">
      <c r="A174" s="1488">
        <v>110</v>
      </c>
      <c r="B174" s="97" t="s">
        <v>35</v>
      </c>
      <c r="C174" s="208" t="s">
        <v>72</v>
      </c>
      <c r="D174" s="960">
        <v>0</v>
      </c>
      <c r="E174" s="941">
        <f>D174</f>
        <v>0</v>
      </c>
      <c r="F174" s="2359">
        <v>0</v>
      </c>
      <c r="G174" s="312">
        <f>F174</f>
        <v>0</v>
      </c>
      <c r="H174" s="1807" t="s">
        <v>1084</v>
      </c>
      <c r="I174" s="174">
        <v>174</v>
      </c>
    </row>
    <row r="175" spans="1:9" ht="18" thickBot="1" x14ac:dyDescent="0.3">
      <c r="A175" s="1487">
        <v>111</v>
      </c>
      <c r="B175" s="186" t="s">
        <v>228</v>
      </c>
      <c r="C175" s="195"/>
      <c r="D175" s="1286">
        <f>D173-D174</f>
        <v>0</v>
      </c>
      <c r="E175" s="1287">
        <f>E173-E174</f>
        <v>0</v>
      </c>
      <c r="F175" s="2362">
        <f>IF(OR(F173=0,F174&gt;F173),0,F173-F174)</f>
        <v>0</v>
      </c>
      <c r="G175" s="2360">
        <v>0</v>
      </c>
      <c r="H175" s="1825" t="s">
        <v>227</v>
      </c>
      <c r="I175" s="601">
        <v>175</v>
      </c>
    </row>
    <row r="176" spans="1:9" ht="16.5" thickBot="1" x14ac:dyDescent="0.3">
      <c r="A176" s="1981">
        <v>112</v>
      </c>
      <c r="B176" s="1982" t="str">
        <f>CONCATENATE("Inkomstebelasting (vast tarief ",Basisgegevens!C218*100,"%) box III:")</f>
        <v>Inkomstebelasting (vast tarief 32%) box III:</v>
      </c>
      <c r="C176" s="1983"/>
      <c r="D176" s="1984">
        <f>Basisgegevens!$C218*D175</f>
        <v>0</v>
      </c>
      <c r="E176" s="1985">
        <f>Basisgegevens!$C218*E175</f>
        <v>0</v>
      </c>
      <c r="F176" s="1984">
        <f>Basisgegevens!$C218*F175</f>
        <v>0</v>
      </c>
      <c r="G176" s="1984">
        <f>Basisgegevens!$C218*G175</f>
        <v>0</v>
      </c>
      <c r="H176" s="1986"/>
      <c r="I176" s="2434">
        <v>176</v>
      </c>
    </row>
    <row r="177" spans="1:9" ht="15.75" thickBot="1" x14ac:dyDescent="0.3">
      <c r="A177" s="1959"/>
      <c r="B177" s="1988"/>
      <c r="C177" s="1960"/>
      <c r="D177" s="1961"/>
      <c r="E177" s="1961"/>
      <c r="F177" s="1961"/>
      <c r="G177" s="1961"/>
      <c r="H177" s="2049"/>
      <c r="I177" s="2315">
        <v>177</v>
      </c>
    </row>
    <row r="178" spans="1:9" ht="21.75" thickBot="1" x14ac:dyDescent="0.3">
      <c r="A178" s="1886"/>
      <c r="B178" s="1957" t="s">
        <v>306</v>
      </c>
      <c r="C178" s="1887"/>
      <c r="D178" s="1888"/>
      <c r="E178" s="1889"/>
      <c r="F178" s="1888"/>
      <c r="G178" s="1888"/>
      <c r="H178" s="1987"/>
      <c r="I178" s="2435">
        <v>178</v>
      </c>
    </row>
    <row r="179" spans="1:9" outlineLevel="1" x14ac:dyDescent="0.25">
      <c r="A179" s="1483">
        <v>113</v>
      </c>
      <c r="B179" s="1223" t="s">
        <v>70</v>
      </c>
      <c r="C179" s="1391" t="s">
        <v>77</v>
      </c>
      <c r="D179" s="1335">
        <f>AL59Arbeidsinkomen_AP+AL60Arbeidsinkomen_AP+D61+D78+AL81Periodieken_AP+D144+AL103WerkVemInk_AP</f>
        <v>0</v>
      </c>
      <c r="E179" s="937">
        <f>AL59Arbeidsinkomen_AP+AL60Arbeidsinkomen_AP+D61+D78+E86+D144+AL103WerkVemInk_AP</f>
        <v>0</v>
      </c>
      <c r="F179" s="1335">
        <f>AL59Arbeidsinkomen_AG+AL60Arbeidsinkomen_AG+F61+F78+AL81Periodieken_AG+F144+AL103WerkVemInk_AG</f>
        <v>0</v>
      </c>
      <c r="G179" s="937">
        <f>AL59Arbeidsinkomen_AG+AL60Arbeidsinkomen_AG+F61+F78+G86+F144+AL103WerkVemInk_AG</f>
        <v>0</v>
      </c>
      <c r="H179" s="1827"/>
      <c r="I179" s="28">
        <v>179</v>
      </c>
    </row>
    <row r="180" spans="1:9" outlineLevel="1" x14ac:dyDescent="0.25">
      <c r="A180" s="1485" t="s">
        <v>780</v>
      </c>
      <c r="B180" s="103" t="s">
        <v>792</v>
      </c>
      <c r="C180" s="1353" t="s">
        <v>77</v>
      </c>
      <c r="D180" s="1335">
        <f>D100</f>
        <v>0</v>
      </c>
      <c r="E180" s="936">
        <f>E100</f>
        <v>0</v>
      </c>
      <c r="F180" s="312">
        <f>F100</f>
        <v>0</v>
      </c>
      <c r="G180" s="312">
        <f>G100</f>
        <v>0</v>
      </c>
      <c r="H180" s="1827"/>
      <c r="I180" s="69">
        <v>180</v>
      </c>
    </row>
    <row r="181" spans="1:9" ht="15.75" outlineLevel="1" thickBot="1" x14ac:dyDescent="0.3">
      <c r="A181" s="1490">
        <v>113</v>
      </c>
      <c r="B181" s="323" t="s">
        <v>592</v>
      </c>
      <c r="C181" s="1354" t="s">
        <v>77</v>
      </c>
      <c r="D181" s="1295">
        <f>D179-D180</f>
        <v>0</v>
      </c>
      <c r="E181" s="945">
        <f>E179</f>
        <v>0</v>
      </c>
      <c r="F181" s="933">
        <f>F179-F180</f>
        <v>0</v>
      </c>
      <c r="G181" s="933">
        <f>G179</f>
        <v>0</v>
      </c>
      <c r="H181" s="1829" t="s">
        <v>411</v>
      </c>
      <c r="I181" s="359">
        <v>181</v>
      </c>
    </row>
    <row r="182" spans="1:9" ht="15.75" thickBot="1" x14ac:dyDescent="0.3">
      <c r="A182" s="1963">
        <v>114</v>
      </c>
      <c r="B182" s="2116" t="s">
        <v>223</v>
      </c>
      <c r="C182" s="2117" t="s">
        <v>72</v>
      </c>
      <c r="D182" s="1966">
        <f>D134+D147+D176</f>
        <v>0</v>
      </c>
      <c r="E182" s="1966">
        <f>E134+E147+E176</f>
        <v>0</v>
      </c>
      <c r="F182" s="1966">
        <f>F134+F147+F176</f>
        <v>0</v>
      </c>
      <c r="G182" s="1966">
        <f>G134+F147+F176</f>
        <v>0</v>
      </c>
      <c r="H182" s="2118" t="s">
        <v>224</v>
      </c>
      <c r="I182" s="2432">
        <v>182</v>
      </c>
    </row>
    <row r="183" spans="1:9" ht="15.75" outlineLevel="1" thickBot="1" x14ac:dyDescent="0.3">
      <c r="A183" s="1896">
        <v>115</v>
      </c>
      <c r="B183" s="2119" t="s">
        <v>36</v>
      </c>
      <c r="C183" s="1897"/>
      <c r="D183" s="1898"/>
      <c r="E183" s="1898"/>
      <c r="F183" s="1898"/>
      <c r="G183" s="1898"/>
      <c r="H183" s="1818"/>
      <c r="I183" s="1253">
        <v>183</v>
      </c>
    </row>
    <row r="184" spans="1:9" outlineLevel="1" x14ac:dyDescent="0.25">
      <c r="A184" s="1593"/>
      <c r="B184" s="1351" t="str">
        <f>"- Algemene heffingskorting over € "&amp;ROUND(Basisgegevens!Q96,0)&amp;" (AP) / € "&amp;ROUND(Basisgegevens!R96,0)&amp;" (AG)"</f>
        <v>- Algemene heffingskorting over € 0 (AP) / € 0 (AG)</v>
      </c>
      <c r="C184" s="199" t="s">
        <v>77</v>
      </c>
      <c r="D184" s="311">
        <f>IF(BGAOWLeeftijdBereikt_AP="Nee",Basisgegevens!Q101,Basisgegevens!Q110)</f>
        <v>0</v>
      </c>
      <c r="E184" s="2124">
        <f>IF(BGAOWLeeftijdBereikt_AP="Nee",Basisgegevens!W101,Basisgegevens!W110)</f>
        <v>0</v>
      </c>
      <c r="F184" s="311">
        <f>IF(BGAOWLeeftijdBereikt_AG="Nee",Basisgegevens!R101,Basisgegevens!R110)</f>
        <v>0</v>
      </c>
      <c r="G184" s="311">
        <f>IF(BGAOWLeeftijdBereikt_AG="Nee",Basisgegevens!X101,Basisgegevens!X110)</f>
        <v>0</v>
      </c>
      <c r="H184" s="1853"/>
      <c r="I184" s="28">
        <v>184</v>
      </c>
    </row>
    <row r="185" spans="1:9" outlineLevel="1" x14ac:dyDescent="0.25">
      <c r="A185" s="84"/>
      <c r="B185" s="103" t="str">
        <f>"- Arbeidskorting over € "&amp;ROUND(Basisgegevens!Q114,0)&amp;" (AP) / € "&amp;ROUND(Basisgegevens!R114,0)&amp;" (AG)"</f>
        <v>- Arbeidskorting over € 0 (AP) / € 0 (AG)</v>
      </c>
      <c r="C185" s="200" t="s">
        <v>77</v>
      </c>
      <c r="D185" s="312">
        <f>IF(BGAOWLeeftijdBereikt_AP="Nee",Basisgegevens!Q121,Basisgegevens!Q130)</f>
        <v>0</v>
      </c>
      <c r="E185" s="936">
        <f>D185</f>
        <v>0</v>
      </c>
      <c r="F185" s="312">
        <f>IF(BGAOWLeeftijdBereikt_AG="Nee",Basisgegevens!R121,Basisgegevens!R130)</f>
        <v>0</v>
      </c>
      <c r="G185" s="918">
        <f>F185</f>
        <v>0</v>
      </c>
      <c r="H185" s="1827"/>
      <c r="I185" s="69">
        <v>185</v>
      </c>
    </row>
    <row r="186" spans="1:9" outlineLevel="1" x14ac:dyDescent="0.25">
      <c r="A186" s="84"/>
      <c r="B186" s="103" t="s">
        <v>984</v>
      </c>
      <c r="C186" s="200" t="s">
        <v>77</v>
      </c>
      <c r="D186" s="312" t="str">
        <f>IF(OR(Basisgegevens!Q84="n.v.t",Basisgegevens!Q84="zie AOW-tabel"),Basisgegevens!Q92,Basisgegevens!Q84)</f>
        <v>n.v.t</v>
      </c>
      <c r="E186" s="936" t="str">
        <f>D186</f>
        <v>n.v.t</v>
      </c>
      <c r="F186" s="312" t="str">
        <f>IF(OR(Basisgegevens!R84="n.v.t",Basisgegevens!R84="zie AOW-tabel"),Basisgegevens!R92,Basisgegevens!R84)</f>
        <v>n.v.t</v>
      </c>
      <c r="G186" s="918" t="str">
        <f>F186</f>
        <v>n.v.t</v>
      </c>
      <c r="H186" s="1827"/>
      <c r="I186" s="69">
        <v>186</v>
      </c>
    </row>
    <row r="187" spans="1:9" outlineLevel="1" x14ac:dyDescent="0.25">
      <c r="A187" s="84"/>
      <c r="B187" s="103" t="s">
        <v>985</v>
      </c>
      <c r="C187" s="200" t="s">
        <v>77</v>
      </c>
      <c r="D187" s="312" t="str">
        <f>Basisgegevens!Q138</f>
        <v>n.v.t</v>
      </c>
      <c r="E187" s="936" t="str">
        <f>D187</f>
        <v>n.v.t</v>
      </c>
      <c r="F187" s="312" t="str">
        <f>Basisgegevens!R138</f>
        <v>n.v.t</v>
      </c>
      <c r="G187" s="918" t="str">
        <f>F187</f>
        <v>n.v.t</v>
      </c>
      <c r="H187" s="1827"/>
      <c r="I187" s="69">
        <v>187</v>
      </c>
    </row>
    <row r="188" spans="1:9" outlineLevel="1" x14ac:dyDescent="0.25">
      <c r="A188" s="84"/>
      <c r="B188" s="103" t="s">
        <v>986</v>
      </c>
      <c r="C188" s="200" t="s">
        <v>77</v>
      </c>
      <c r="D188" s="312" t="str">
        <f>Basisgegevens!Q56</f>
        <v>n.v.t</v>
      </c>
      <c r="E188" s="936" t="str">
        <f>D188</f>
        <v>n.v.t</v>
      </c>
      <c r="F188" s="312" t="str">
        <f>Basisgegevens!R56</f>
        <v>n.v.t</v>
      </c>
      <c r="G188" s="918" t="str">
        <f>F188</f>
        <v>n.v.t</v>
      </c>
      <c r="H188" s="1827"/>
      <c r="I188" s="69">
        <v>188</v>
      </c>
    </row>
    <row r="189" spans="1:9" ht="30" customHeight="1" outlineLevel="1" thickBot="1" x14ac:dyDescent="0.3">
      <c r="A189" s="85"/>
      <c r="B189" s="1041" t="s">
        <v>987</v>
      </c>
      <c r="C189" s="201" t="s">
        <v>77</v>
      </c>
      <c r="D189" s="956">
        <v>0</v>
      </c>
      <c r="E189" s="1042">
        <f>D189</f>
        <v>0</v>
      </c>
      <c r="F189" s="956">
        <v>0</v>
      </c>
      <c r="G189" s="314">
        <f>F189</f>
        <v>0</v>
      </c>
      <c r="H189" s="1837" t="s">
        <v>683</v>
      </c>
      <c r="I189" s="30">
        <v>189</v>
      </c>
    </row>
    <row r="190" spans="1:9" ht="18" outlineLevel="1" thickBot="1" x14ac:dyDescent="0.3">
      <c r="A190" s="1368">
        <v>116</v>
      </c>
      <c r="B190" s="2120" t="s">
        <v>312</v>
      </c>
      <c r="C190" s="1762" t="s">
        <v>77</v>
      </c>
      <c r="D190" s="2121">
        <f>SUM(D184:D189)</f>
        <v>0</v>
      </c>
      <c r="E190" s="2122">
        <f>SUM(E184:E189)</f>
        <v>0</v>
      </c>
      <c r="F190" s="2121">
        <f>SUM(F184:F189)</f>
        <v>0</v>
      </c>
      <c r="G190" s="2121">
        <f>SUM(G184:G189)</f>
        <v>0</v>
      </c>
      <c r="H190" s="2123" t="s">
        <v>233</v>
      </c>
      <c r="I190" s="332">
        <v>190</v>
      </c>
    </row>
    <row r="191" spans="1:9" ht="15.75" thickBot="1" x14ac:dyDescent="0.3">
      <c r="A191" s="1503">
        <v>117</v>
      </c>
      <c r="B191" s="322" t="s">
        <v>398</v>
      </c>
      <c r="C191" s="215" t="s">
        <v>72</v>
      </c>
      <c r="D191" s="427">
        <f>IF(OR(D182&lt;=0,D182-D190&lt;0.01),0,D182-D190)</f>
        <v>0</v>
      </c>
      <c r="E191" s="946">
        <f>IF(OR(E182&lt;=0,E182-E190&lt;0.01),0,E182-E190)</f>
        <v>0</v>
      </c>
      <c r="F191" s="427">
        <f>IF(OR(F182&lt;=0,F182-F190&lt;0.01),0,F182-F190)</f>
        <v>0</v>
      </c>
      <c r="G191" s="427">
        <f>IF(OR(G182&lt;=0,G182-G190&lt;0.01),0,G182-G190)</f>
        <v>0</v>
      </c>
      <c r="H191" s="1830" t="s">
        <v>234</v>
      </c>
      <c r="I191" s="599">
        <v>191</v>
      </c>
    </row>
    <row r="192" spans="1:9" ht="16.5" thickBot="1" x14ac:dyDescent="0.3">
      <c r="A192" s="1505"/>
      <c r="B192" s="1361" t="s">
        <v>308</v>
      </c>
      <c r="C192" s="702"/>
      <c r="D192" s="924">
        <f>D181-D191</f>
        <v>0</v>
      </c>
      <c r="E192" s="924">
        <f>E181-E191</f>
        <v>0</v>
      </c>
      <c r="F192" s="924">
        <f>F181-F191</f>
        <v>0</v>
      </c>
      <c r="G192" s="924">
        <f>G181-G191</f>
        <v>0</v>
      </c>
      <c r="H192" s="1798" t="s">
        <v>399</v>
      </c>
      <c r="I192" s="2415">
        <v>192</v>
      </c>
    </row>
    <row r="193" spans="1:9" ht="15.75" thickBot="1" x14ac:dyDescent="0.3">
      <c r="A193" s="1959"/>
      <c r="B193" s="1988"/>
      <c r="C193" s="1960"/>
      <c r="D193" s="1961"/>
      <c r="E193" s="1961"/>
      <c r="F193" s="1961"/>
      <c r="G193" s="1961"/>
      <c r="H193" s="2049"/>
      <c r="I193" s="2315">
        <v>193</v>
      </c>
    </row>
    <row r="194" spans="1:9" ht="16.5" thickBot="1" x14ac:dyDescent="0.3">
      <c r="A194" s="2404" t="s">
        <v>722</v>
      </c>
      <c r="B194" s="1999" t="s">
        <v>763</v>
      </c>
      <c r="C194" s="1989"/>
      <c r="D194" s="911"/>
      <c r="E194" s="1935"/>
      <c r="F194" s="911"/>
      <c r="G194" s="911"/>
      <c r="H194" s="1990"/>
      <c r="I194" s="2263">
        <v>194</v>
      </c>
    </row>
    <row r="195" spans="1:9" ht="30.75" outlineLevel="1" thickBot="1" x14ac:dyDescent="0.3">
      <c r="A195" s="2403" t="str">
        <f>A21</f>
        <v>41-50</v>
      </c>
      <c r="B195" s="2372" t="str">
        <f>SUBSTITUTE(B21&amp;" incl. WAO/AOW/Pensioen, excl. DGA inkomen 41-48",":","")</f>
        <v>Bruto jaar inkomen uit loon incl. WAO/AOW/Pensioen, excl. DGA inkomen 41-48</v>
      </c>
      <c r="C195" s="1728" t="s">
        <v>77</v>
      </c>
      <c r="D195" s="925">
        <f>IF(AL41DGA_AP="Nee",BG41eaArbeidsloon_AP+BG43SocVerzWet_AP+AL45Bouwinkomen_AP+SUM(D18:D19),BG43SocVerzWet_AP+AL45Bouwinkomen_AP+SUM(D18:D19))</f>
        <v>0</v>
      </c>
      <c r="E195" s="1869"/>
      <c r="F195" s="925">
        <f>IF(AL41DGA_AG="Nee",BG41eaArbeidsloon_AG+BG43SocVerzWet_AG+AL45Bouwinkomen_AG+SUM(F18:F19),BG43SocVerzWet_AG+AL45Bouwinkomen_AG+SUM(F18:F19))</f>
        <v>0</v>
      </c>
      <c r="G195" s="1869"/>
      <c r="H195" s="1817" t="s">
        <v>897</v>
      </c>
      <c r="I195" s="2405">
        <v>195</v>
      </c>
    </row>
    <row r="196" spans="1:9" ht="15.75" outlineLevel="1" thickBot="1" x14ac:dyDescent="0.3">
      <c r="A196" s="2375">
        <f>A50</f>
        <v>60</v>
      </c>
      <c r="B196" s="2373" t="str">
        <f>B50</f>
        <v>Bruto loon volgens jaaropgaaf werkgever(s)</v>
      </c>
      <c r="C196" s="1353" t="s">
        <v>77</v>
      </c>
      <c r="D196" s="927">
        <f>AL60Arbeidsinkomen_AP</f>
        <v>0</v>
      </c>
      <c r="E196" s="1356" t="s">
        <v>774</v>
      </c>
      <c r="F196" s="927">
        <f>AL60Arbeidsinkomen_AG</f>
        <v>0</v>
      </c>
      <c r="G196" s="1356" t="s">
        <v>774</v>
      </c>
      <c r="H196" s="1807"/>
      <c r="I196" s="2406">
        <v>196</v>
      </c>
    </row>
    <row r="197" spans="1:9" outlineLevel="1" x14ac:dyDescent="0.25">
      <c r="A197" s="2375" t="s">
        <v>970</v>
      </c>
      <c r="B197" s="2374" t="s">
        <v>1089</v>
      </c>
      <c r="C197" s="2299" t="s">
        <v>77</v>
      </c>
      <c r="D197" s="927">
        <f>E197/BGZVWPremie</f>
        <v>0</v>
      </c>
      <c r="E197" s="927">
        <f>IF(Basisgegevens!D113="zie jaarloon (60)",0,Basisgegevens!D113)</f>
        <v>0</v>
      </c>
      <c r="F197" s="927"/>
      <c r="G197" s="927">
        <f>IF(Basisgegevens!F113="zie jaarloon (60)",0,Basisgegevens!F113)</f>
        <v>0</v>
      </c>
      <c r="H197" s="1807"/>
      <c r="I197" s="2406">
        <v>197</v>
      </c>
    </row>
    <row r="198" spans="1:9" outlineLevel="1" x14ac:dyDescent="0.25">
      <c r="A198" s="2375" t="s">
        <v>1085</v>
      </c>
      <c r="B198" s="2374" t="s">
        <v>1087</v>
      </c>
      <c r="C198" s="2299" t="s">
        <v>77</v>
      </c>
      <c r="D198" s="927">
        <f>BG42AOWuitkering_AP</f>
        <v>0</v>
      </c>
      <c r="E198" s="927">
        <f>Basisgegevens!D123</f>
        <v>0</v>
      </c>
      <c r="F198" s="927">
        <f>BG42AOWuitkering_AG</f>
        <v>0</v>
      </c>
      <c r="G198" s="927">
        <f>Basisgegevens!F123</f>
        <v>0</v>
      </c>
      <c r="H198" s="1807"/>
      <c r="I198" s="2406">
        <v>198</v>
      </c>
    </row>
    <row r="199" spans="1:9" ht="15.75" outlineLevel="1" thickBot="1" x14ac:dyDescent="0.3">
      <c r="A199" s="2375" t="s">
        <v>1086</v>
      </c>
      <c r="B199" s="2374" t="s">
        <v>1088</v>
      </c>
      <c r="C199" s="2299" t="s">
        <v>77</v>
      </c>
      <c r="D199" s="927">
        <f>BG50BrutoPensioen_AP</f>
        <v>0</v>
      </c>
      <c r="E199" s="927">
        <f>Basisgegevens!D140</f>
        <v>0</v>
      </c>
      <c r="F199" s="927">
        <f>BG50BrutoPensioen_AG</f>
        <v>0</v>
      </c>
      <c r="G199" s="927">
        <f>Basisgegevens!F140</f>
        <v>0</v>
      </c>
      <c r="H199" s="1807"/>
      <c r="I199" s="2406">
        <v>199</v>
      </c>
    </row>
    <row r="200" spans="1:9" ht="15.75" outlineLevel="1" thickBot="1" x14ac:dyDescent="0.3">
      <c r="A200" s="1868"/>
      <c r="B200" s="1363" t="s">
        <v>769</v>
      </c>
      <c r="C200" s="1355"/>
      <c r="D200" s="1356">
        <f>SUM(D195:D199)</f>
        <v>0</v>
      </c>
      <c r="E200" s="1356">
        <f>SUM(E197:E199)</f>
        <v>0</v>
      </c>
      <c r="F200" s="1356">
        <f>SUM(F195:F199)</f>
        <v>0</v>
      </c>
      <c r="G200" s="1356">
        <f>SUM(G197:G199)</f>
        <v>0</v>
      </c>
      <c r="H200" s="2279"/>
      <c r="I200" s="2405">
        <v>200</v>
      </c>
    </row>
    <row r="201" spans="1:9" ht="15.75" outlineLevel="1" thickBot="1" x14ac:dyDescent="0.3">
      <c r="A201" s="1506"/>
      <c r="B201" s="1359" t="str">
        <f>Basisgegevens!B221</f>
        <v>Maximumbijdrage-inkomen ZVW-premie in 2023</v>
      </c>
      <c r="C201" s="2080" t="s">
        <v>72</v>
      </c>
      <c r="D201" s="933">
        <f>BGZVWJaarInkomen</f>
        <v>66952</v>
      </c>
      <c r="E201" s="1360"/>
      <c r="F201" s="933">
        <f>BGZVWJaarInkomen</f>
        <v>66952</v>
      </c>
      <c r="G201" s="1360"/>
      <c r="I201" s="2406">
        <v>201</v>
      </c>
    </row>
    <row r="202" spans="1:9" ht="15.75" outlineLevel="1" thickBot="1" x14ac:dyDescent="0.3">
      <c r="A202" s="1507"/>
      <c r="B202" s="1363" t="s">
        <v>775</v>
      </c>
      <c r="C202" s="1355"/>
      <c r="D202" s="1356">
        <f>IF(BGZVWJaarInkomen-D200&lt;=0,0,BGZVWJaarInkomen-D200)</f>
        <v>66952</v>
      </c>
      <c r="E202" s="1358"/>
      <c r="F202" s="1356">
        <f>IF(BGZVWJaarInkomen-F200&lt;=0,0,BGZVWJaarInkomen-F200)</f>
        <v>66952</v>
      </c>
      <c r="G202" s="1358"/>
      <c r="H202" s="2279"/>
      <c r="I202" s="2406">
        <v>202</v>
      </c>
    </row>
    <row r="203" spans="1:9" ht="15.75" outlineLevel="1" thickBot="1" x14ac:dyDescent="0.3">
      <c r="A203" s="1867"/>
      <c r="B203" s="1359"/>
      <c r="C203" s="1762"/>
      <c r="D203" s="1366"/>
      <c r="E203" s="2300"/>
      <c r="F203" s="1367"/>
      <c r="G203" s="2300"/>
      <c r="I203" s="2407">
        <v>203</v>
      </c>
    </row>
    <row r="204" spans="1:9" ht="16.5" outlineLevel="1" thickBot="1" x14ac:dyDescent="0.3">
      <c r="A204" s="1996"/>
      <c r="B204" s="1997" t="s">
        <v>1139</v>
      </c>
      <c r="C204" s="1998"/>
      <c r="D204" s="1356" t="s">
        <v>770</v>
      </c>
      <c r="E204" s="1356" t="s">
        <v>774</v>
      </c>
      <c r="F204" s="1356" t="s">
        <v>770</v>
      </c>
      <c r="G204" s="1356" t="s">
        <v>774</v>
      </c>
      <c r="H204" s="1779"/>
      <c r="I204" s="2408">
        <v>204</v>
      </c>
    </row>
    <row r="205" spans="1:9" ht="30" outlineLevel="1" x14ac:dyDescent="0.25">
      <c r="A205" s="2342" t="str">
        <f>A11</f>
        <v>44/47/48</v>
      </c>
      <c r="B205" s="2343" t="str">
        <f>B6&amp;" als DGA? "&amp;AL41DGA_AP&amp;" (AP) / "&amp;AL41DGA_AG&amp;" (AG)"</f>
        <v>Bruto arbeidsinkomen uit dienstbetrekking (1 en 2) als DGA? Nee (AP) / Nee (AG)</v>
      </c>
      <c r="C205" s="1352" t="s">
        <v>77</v>
      </c>
      <c r="D205" s="925">
        <f>IF(AL41DGA_AP="Ja",AL41Arbeidsinkomen_AP+SUM(D7:D11),0)</f>
        <v>0</v>
      </c>
      <c r="E205" s="925">
        <f>IF(OR(ALZVWRestbedrag_AP&lt;=0,D205=0),0,IF(ALZVWRestbedrag_AP-AL41Arbeidsinkomen_AP-SUM(D7:D11)&lt;=0,ALZVWRestbedrag_AP*BGZVWPremie,IF(AL41Arbeidsinkomen_AP+SUM(D7:D11)&gt;BGZVWJaarInkomen,BGZVWJaarInkomen,AL41Arbeidsinkomen_AP+SUM(D7:D11))*BGZVWPremie))</f>
        <v>0</v>
      </c>
      <c r="F205" s="925">
        <f>IF(AL41DGA_AG="Ja",AL41Arbeidsinkomen_AG+SUM(F7:F11),0)</f>
        <v>0</v>
      </c>
      <c r="G205" s="925">
        <f>IF(OR(ALZVWRestbedrag_AG&lt;=0,F205=0),0,IF(ALZVWRestbedrag_AG-AL41Arbeidsinkomen_AG-SUM(F7:F11)&lt;=0,ALZVWRestbedrag_AG*BGZVWPremie,IF(AL41Arbeidsinkomen_AG+SUM(F7:F11)&gt;BGZVWJaarInkomen,BGZVWJaarInkomen,AL41Arbeidsinkomen_AG+SUM(F7:F11))*BGZVWPremie))</f>
        <v>0</v>
      </c>
      <c r="H205" s="1817" t="s">
        <v>911</v>
      </c>
      <c r="I205" s="2444">
        <v>205</v>
      </c>
    </row>
    <row r="206" spans="1:9" outlineLevel="1" x14ac:dyDescent="0.25">
      <c r="A206" s="2344">
        <f>A75</f>
        <v>75</v>
      </c>
      <c r="B206" s="2346" t="str">
        <f>SUBSTITUTE(B75,":","")</f>
        <v>Belastbare winst uit onderneming</v>
      </c>
      <c r="C206" s="1353" t="s">
        <v>77</v>
      </c>
      <c r="D206" s="312">
        <f>AL75BelastbareWinst_AP</f>
        <v>0</v>
      </c>
      <c r="E206" s="312">
        <f>IF(OR(ALZVWRestbedrag_AP-D$205&lt;=0,AL75BelastbareWinst_AP&lt;0),0,IF(ALZVWRestbedrag_AP-D$205-AL75BelastbareWinst_AP&lt;=0,(ALZVWRestbedrag_AP-D$205)*BGZVWPremie,IF(AL75BelastbareWinst_AP&gt;BGZVWJaarInkomen,BGZVWJaarInkomen,AL75BelastbareWinst_AP)*BGZVWPremie))</f>
        <v>0</v>
      </c>
      <c r="F206" s="312">
        <f>AL75BelastbareWinst_AG</f>
        <v>0</v>
      </c>
      <c r="G206" s="312">
        <f>IF(OR(ALZVWRestbedrag_AG-F$205&lt;=0,AL75BelastbareWinst_AG&lt;0),0,IF(ALZVWRestbedrag_AG-F$205-AL75BelastbareWinst_AG&lt;=0,(ALZVWRestbedrag_AG-F$205)*BGZVWPremie,IF(AL75BelastbareWinst_AG&gt;BGZVWJaarInkomen,BGZVWJaarInkomen,AL75BelastbareWinst_AG)*BGZVWPremie))</f>
        <v>0</v>
      </c>
      <c r="H206" s="1806" t="s">
        <v>975</v>
      </c>
      <c r="I206" s="2445">
        <v>206</v>
      </c>
    </row>
    <row r="207" spans="1:9" outlineLevel="1" x14ac:dyDescent="0.25">
      <c r="A207" s="2344">
        <f>A80</f>
        <v>78</v>
      </c>
      <c r="B207" s="2345" t="str">
        <f>SUBSTITUTE(B80,":","")</f>
        <v>Belastbaar resultaat uit overige werkzaamheden</v>
      </c>
      <c r="C207" s="1353" t="s">
        <v>77</v>
      </c>
      <c r="D207" s="312">
        <f>AL78OverigeWerkz_AP</f>
        <v>0</v>
      </c>
      <c r="E207" s="312">
        <f>IF((ALZVWRestbedrag_AP-D$205-IF(AL75BelastbareWinst_AP&lt;=0,0,AL75BelastbareWinst_AP))&lt;=0,0,IF(ALZVWRestbedrag_AP-D$205-IF(AL75BelastbareWinst_AP&lt;=0,0,AL75BelastbareWinst_AP)-AL78OverigeWerkz_AP&lt;=0,(ALZVWRestbedrag_AP-D$205-IF(AL75BelastbareWinst_AP&lt;=0,0,AL75BelastbareWinst_AP))*BGZVWPremie,AL78OverigeWerkz_AP*BGZVWPremie))</f>
        <v>0</v>
      </c>
      <c r="F207" s="312">
        <f>AL78OverigeWerkz_AG</f>
        <v>0</v>
      </c>
      <c r="G207" s="312">
        <f>IF((ALZVWRestbedrag_AG-F$205-IF(AL75BelastbareWinst_AG&lt;=0,0,AL75BelastbareWinst_AG))&lt;=0,0,IF(ALZVWRestbedrag_AG-F$205-IF(AL75BelastbareWinst_AG&lt;=0,0,AL75BelastbareWinst_AG)-AL78OverigeWerkz_AG&lt;=0,(ALZVWRestbedrag_AG-F$205-IF(AL75BelastbareWinst_AG&lt;=0,0,AL75BelastbareWinst_AG))*BGZVWPremie,AL78OverigeWerkz_AG*BGZVWPremie))</f>
        <v>0</v>
      </c>
      <c r="H207" s="1806" t="s">
        <v>976</v>
      </c>
      <c r="I207" s="2445">
        <v>207</v>
      </c>
    </row>
    <row r="208" spans="1:9" outlineLevel="1" x14ac:dyDescent="0.25">
      <c r="A208" s="2344" t="s">
        <v>738</v>
      </c>
      <c r="B208" s="2345" t="s">
        <v>968</v>
      </c>
      <c r="C208" s="1353" t="s">
        <v>77</v>
      </c>
      <c r="D208" s="312">
        <f>AL79aVEWRentePA_AP</f>
        <v>0</v>
      </c>
      <c r="E208" s="312">
        <f>IF((ALZVWRestbedrag_AP-D$205-IF(AL75BelastbareWinst_AP&lt;=0,0,AL75BelastbareWinst_AP)-AL78OverigeWerkz_AP)&lt;=0,0,IF(ALZVWRestbedrag_AP-D$205-IF(AL75BelastbareWinst_AP&lt;=0,0,AL75BelastbareWinst_AP)-AL78OverigeWerkz_AP-AL79aVEWRentePA_AP&lt;=0,(ALZVWRestbedrag_AP-D$205-IF(AL75BelastbareWinst_AP&lt;=0,0,AL75BelastbareWinst_AP)-AL78OverigeWerkz_AP)*BGZVWPremie,AL79aVEWRentePA_AP*BGZVWPremie))</f>
        <v>0</v>
      </c>
      <c r="F208" s="312">
        <f>AL79aVEWRentePA_AG</f>
        <v>0</v>
      </c>
      <c r="G208" s="312">
        <f>IF((ALZVWRestbedrag_AG-F$205-IF(AL75BelastbareWinst_AG&lt;=0,0,AL75BelastbareWinst_AG)-AL78OverigeWerkz_AG)&lt;=0,0,IF(ALZVWRestbedrag_AG-F$205-IF(AL75BelastbareWinst_AG&lt;=0,0,AL75BelastbareWinst_AG)-AL78OverigeWerkz_AG-AL79aVEWRentePA_AG&lt;=0,(ALZVWRestbedrag_AG-F$205-IF(AL75BelastbareWinst_AG&lt;=0,0,AL75BelastbareWinst_AG)-AL78OverigeWerkz_AG)*BGZVWPremie,AL79aVEWRentePA_AG*BGZVWPremie))</f>
        <v>0</v>
      </c>
      <c r="H208" s="1806" t="s">
        <v>977</v>
      </c>
      <c r="I208" s="2445">
        <v>208</v>
      </c>
    </row>
    <row r="209" spans="1:9" outlineLevel="1" x14ac:dyDescent="0.25">
      <c r="A209" s="2344">
        <f>A86</f>
        <v>81</v>
      </c>
      <c r="B209" s="2346" t="str">
        <f>SUBSTITUTE(B86,":","")</f>
        <v>Belastbare periodieke uitkeringen en verstrekkingen</v>
      </c>
      <c r="C209" s="1353" t="s">
        <v>77</v>
      </c>
      <c r="D209" s="312">
        <f>AL81Periodieken_AP</f>
        <v>0</v>
      </c>
      <c r="E209" s="312">
        <f>IF((ALZVWRestbedrag_AP-D$205-IF(AL75BelastbareWinst_AP&lt;=0,0,AL75BelastbareWinst_AP)-AL78OverigeWerkz_AP-AL79aVEWRentePA_AP)&lt;=0,0,IF(ALZVWRestbedrag_AP-D$205-IF(AL75BelastbareWinst_AP&lt;=0,0,AL75BelastbareWinst_AP)-AL78OverigeWerkz_AP-AL79aVEWRentePA_AP-AL81Periodieken_AP&lt;=0,(ALZVWRestbedrag_AP-D$205-IF(AL75BelastbareWinst_AP&lt;=0,0,AL75BelastbareWinst_AP)-AL78OverigeWerkz_AP-AL79aVEWRentePA_AP)*BGZVWPremie,AL81Periodieken_AP*BGZVWPremie))</f>
        <v>0</v>
      </c>
      <c r="F209" s="312">
        <f>AL81Periodieken_AG</f>
        <v>0</v>
      </c>
      <c r="G209" s="312">
        <f>IF((ALZVWRestbedrag_AG-F$205-IF(AL75BelastbareWinst_AG&lt;=0,0,AL75BelastbareWinst_AG)-AL78OverigeWerkz_AG-AL79aVEWRentePA_AG)&lt;=0,0,IF(ALZVWRestbedrag_AG-F$205-IF(AL75BelastbareWinst_AG&lt;=0,0,AL75BelastbareWinst_AG)-AL78OverigeWerkz_AG-AL79aVEWRentePA_AG-AL81Periodieken_AG&lt;=0,(ALZVWRestbedrag_AG-F$205-IF(AL75BelastbareWinst_AG&lt;=0,0,AL75BelastbareWinst_AG)-AL78OverigeWerkz_AG-AL79aVEWRentePA_AG)*BGZVWPremie,AL81Periodieken_AG*BGZVWPremie))</f>
        <v>0</v>
      </c>
      <c r="H209" s="1806" t="s">
        <v>978</v>
      </c>
      <c r="I209" s="2445">
        <v>209</v>
      </c>
    </row>
    <row r="210" spans="1:9" outlineLevel="1" x14ac:dyDescent="0.25">
      <c r="A210" s="2347" t="s">
        <v>722</v>
      </c>
      <c r="B210" s="2346" t="str">
        <f>"OEW: "&amp;Basisgegevens!M186</f>
        <v>OEW: Eigen Woning Forfait bijdrage ZVW over EWF berekenen over</v>
      </c>
      <c r="C210" s="1353" t="s">
        <v>77</v>
      </c>
      <c r="D210" s="312">
        <f>IF(BGOEWRekenModule="Ja",BGOEW117aEWFZVW_AP,0)</f>
        <v>0</v>
      </c>
      <c r="E210" s="312">
        <f ca="1">IF((ALZVWRestbedrag_AP-D$205-IF(AL75BelastbareWinst_AP&lt;=0,0,AL75BelastbareWinst_AP)-AL78OverigeWerkz_AP-AL79aVEWRentePA_AP-AL81Periodieken_AP)&lt;=0,0,IF(ALZVWRestbedrag_AP-D$205-IF(AL75BelastbareWinst_AP&lt;=0,0,AL75BelastbareWinst_AP)-AL78OverigeWerkz_AP-AL79aVEWRentePA_AP-AL81Periodieken_AP-BGOEW117aEWFZVW_AP&lt;=0,(ALZVWRestbedrag_AP-D$205-IF(AL75BelastbareWinst_AP&lt;=0,0,AL75BelastbareWinst_AP)-AL78OverigeWerkz_AP-AL79aVEWRentePA_AP-AL81Periodieken_AP)*BGZVWPremie,BGOEW117aEWFZVW_AP*BGZVWPremie))</f>
        <v>0</v>
      </c>
      <c r="F210" s="312">
        <f>IF(BGOEWRekenModule="Ja",BGOEW117aEWFZVW_AG,0)</f>
        <v>0</v>
      </c>
      <c r="G210" s="312">
        <f ca="1">IF((ALZVWRestbedrag_AG-F$205-IF(AL75BelastbareWinst_AG&lt;=0,0,AL75BelastbareWinst_AG)-AL78OverigeWerkz_AG-AL79aVEWRentePA_AG-AL81Periodieken_AG)&lt;=0,0,IF(ALZVWRestbedrag_AG-F$205-IF(AL75BelastbareWinst_AG&lt;=0,0,AL75BelastbareWinst_AG)-AL78OverigeWerkz_AG-AL79aVEWRentePA_AG-AL81Periodieken_AG-BGOEW117aEWFZVW_AG&lt;=0,(ALZVWRestbedrag_AG-F$205-IF(AL75BelastbareWinst_AG&lt;=0,0,AL75BelastbareWinst_AG)-AL78OverigeWerkz_AG-AL79aVEWRentePA_AG-AL81Periodieken_AG)*BGZVWPremie,BGOEW117aEWFZVW_AG*BGZVWPremie))</f>
        <v>0</v>
      </c>
      <c r="H210" s="1806" t="s">
        <v>979</v>
      </c>
      <c r="I210" s="2446">
        <v>210</v>
      </c>
    </row>
    <row r="211" spans="1:9" ht="15.75" outlineLevel="1" thickBot="1" x14ac:dyDescent="0.3">
      <c r="A211" s="2348" t="str">
        <f>Basisgegevens!L190</f>
        <v>117a</v>
      </c>
      <c r="B211" s="2349" t="str">
        <f>"OEW: "&amp;Basisgegevens!M190</f>
        <v>OEW: Rente bijdrage ZVW over de rente berekenen over</v>
      </c>
      <c r="C211" s="1416" t="s">
        <v>77</v>
      </c>
      <c r="D211" s="314">
        <f>IF(BGOEWRekenModule="Ja",BGOEW117aRenteZVW_AP,0)</f>
        <v>0</v>
      </c>
      <c r="E211" s="314">
        <f ca="1">IF((ALZVWRestbedrag_AP-D$205-IF(AL75BelastbareWinst_AP&lt;=0,0,AL75BelastbareWinst_AP)-AL78OverigeWerkz_AP-AL79aVEWRentePA_AP-AL81Periodieken_AP-BGOEW117aEWFZVW_AP)&lt;=0,0,IF(ALZVWRestbedrag_AP-D$205-IF(AL75BelastbareWinst_AP&lt;=0,0,AL75BelastbareWinst_AP)-AL78OverigeWerkz_AP-AL79aVEWRentePA_AP-AL81Periodieken_AP-BGOEW117aEWFZVW_AP-BGOEW117aRenteZVW_AP&lt;=0,(ALZVWRestbedrag_AP-D$205-IF(AL75BelastbareWinst_AP&lt;=0,0,AL75BelastbareWinst_AP)-AL78OverigeWerkz_AP-AL79aVEWRentePA_AP-AL81Periodieken_AP-BGOEW117aEWFZVW_AP)*BGZVWPremie,BGOEW117aRenteZVW_AP*BGZVWPremie))</f>
        <v>0</v>
      </c>
      <c r="F211" s="314">
        <f>IF(BGOEWRekenModule="Ja",BGOEW117aRenteZVW_AG,0)</f>
        <v>0</v>
      </c>
      <c r="G211" s="314">
        <f ca="1">IF((ALZVWRestbedrag_AG-F$205-IF(AL75BelastbareWinst_AG&lt;=0,0,AL75BelastbareWinst_AG)-AL78OverigeWerkz_AG-AL79aVEWRentePA_AG-AL81Periodieken_AG-BGOEW117aEWFZVW_AG)&lt;=0,0,IF(ALZVWRestbedrag_AG-F$205-IF(AL75BelastbareWinst_AG&lt;=0,0,AL75BelastbareWinst_AG)-AL78OverigeWerkz_AG-AL79aVEWRentePA_AG-AL81Periodieken_AG-BGOEW117aEWFZVW_AG-BGOEW117aRenteZVW_AG&lt;=0,(ALZVWRestbedrag_AG-F$205-IF(AL75BelastbareWinst_AG&lt;=0,0,AL75BelastbareWinst_AG)-AL78OverigeWerkz_AG-AL79aVEWRentePA_AG-AL81Periodieken_AG-BGOEW117aEWFZVW_AG)*BGZVWPremie,BGOEW117aRenteZVW_AG*BGZVWPremie))</f>
        <v>0</v>
      </c>
      <c r="H211" s="1759" t="s">
        <v>979</v>
      </c>
      <c r="I211" s="2447">
        <v>211</v>
      </c>
    </row>
    <row r="212" spans="1:9" ht="15.75" thickBot="1" x14ac:dyDescent="0.3">
      <c r="A212" s="1368"/>
      <c r="B212" s="2079" t="s">
        <v>1140</v>
      </c>
      <c r="C212" s="2080" t="s">
        <v>72</v>
      </c>
      <c r="D212" s="2081">
        <f>IF(AL75BelastbareWinst_AP&lt;0,IF(SUM(D205:D205)+SUM(D207:D211)&gt;ALZVWRestbedrag_AP,ALZVWRestbedrag_AP,SUM(D205:D205)+SUM(D207:D211)),IF(SUM(D205:D211)&gt;ALZVWRestbedrag_AP,ALZVWRestbedrag_AP,SUM(D205:D211)))</f>
        <v>0</v>
      </c>
      <c r="E212" s="2081">
        <f ca="1">SUM(E205:E211)</f>
        <v>0</v>
      </c>
      <c r="F212" s="2081">
        <f>IF(AL75BelastbareWinst_AP&lt;0,IF(SUM(F205:F205)+SUM(F207:F211)&gt;ALZVWRestbedrag_AP,ALZVWRestbedrag_AP,SUM(F205:F205)+SUM(F207:F211)),IF(SUM(F205:F211)&gt;ALZVWRestbedrag_AP,ALZVWRestbedrag_AP,SUM(F205:F211)))</f>
        <v>0</v>
      </c>
      <c r="G212" s="2081">
        <f ca="1">SUM(G205:G211)</f>
        <v>0</v>
      </c>
      <c r="H212" s="1870"/>
      <c r="I212" s="332">
        <v>212</v>
      </c>
    </row>
    <row r="213" spans="1:9" ht="30.75" thickBot="1" x14ac:dyDescent="0.3">
      <c r="A213" s="2082"/>
      <c r="B213" s="1363" t="s">
        <v>773</v>
      </c>
      <c r="C213" s="1364"/>
      <c r="D213" s="1356">
        <f>IF(ALZVWRestbedrag_AP-D212&lt;=0,0,ALZVWRestbedrag_AP-D212)</f>
        <v>66952</v>
      </c>
      <c r="E213" s="1358"/>
      <c r="F213" s="2083">
        <f>IF(ALZVWRestbedrag_AG-F212&lt;=0,0,ALZVWRestbedrag_AG-F212)</f>
        <v>66952</v>
      </c>
      <c r="G213" s="1358"/>
      <c r="H213" s="1828" t="s">
        <v>772</v>
      </c>
      <c r="I213" s="2408">
        <v>213</v>
      </c>
    </row>
    <row r="214" spans="1:9" ht="15.75" outlineLevel="1" thickBot="1" x14ac:dyDescent="0.3">
      <c r="A214" s="1969"/>
      <c r="B214" s="1994"/>
      <c r="C214" s="1971"/>
      <c r="D214" s="1972"/>
      <c r="E214" s="1972"/>
      <c r="F214" s="1972"/>
      <c r="G214" s="1972"/>
      <c r="H214" s="2050"/>
      <c r="I214" s="2409">
        <v>214</v>
      </c>
    </row>
    <row r="215" spans="1:9" ht="16.5" outlineLevel="1" thickBot="1" x14ac:dyDescent="0.3">
      <c r="A215" s="1932">
        <v>118</v>
      </c>
      <c r="B215" s="1942" t="s">
        <v>958</v>
      </c>
      <c r="C215" s="1995"/>
      <c r="D215" s="1935"/>
      <c r="E215" s="1935"/>
      <c r="F215" s="1935"/>
      <c r="G215" s="1935"/>
      <c r="H215" s="1990"/>
      <c r="I215" s="2263">
        <v>215</v>
      </c>
    </row>
    <row r="216" spans="1:9" ht="45.75" outlineLevel="1" thickBot="1" x14ac:dyDescent="0.3">
      <c r="A216" s="1787">
        <v>118</v>
      </c>
      <c r="B216" s="323" t="s">
        <v>39</v>
      </c>
      <c r="C216" s="1362" t="s">
        <v>77</v>
      </c>
      <c r="D216" s="1992">
        <v>0</v>
      </c>
      <c r="E216" s="1788">
        <f>D216</f>
        <v>0</v>
      </c>
      <c r="F216" s="1993">
        <v>0</v>
      </c>
      <c r="G216" s="1788">
        <f>F216</f>
        <v>0</v>
      </c>
      <c r="H216" s="1809" t="s">
        <v>235</v>
      </c>
      <c r="I216" s="359">
        <v>216</v>
      </c>
    </row>
    <row r="217" spans="1:9" ht="15.75" outlineLevel="1" thickBot="1" x14ac:dyDescent="0.3">
      <c r="A217" s="1969"/>
      <c r="B217" s="1994"/>
      <c r="C217" s="1971"/>
      <c r="D217" s="1972"/>
      <c r="E217" s="1972"/>
      <c r="F217" s="1972"/>
      <c r="G217" s="1972"/>
      <c r="H217" s="2050"/>
      <c r="I217" s="2409">
        <v>217</v>
      </c>
    </row>
    <row r="218" spans="1:9" ht="16.5" outlineLevel="1" thickBot="1" x14ac:dyDescent="0.3">
      <c r="A218" s="1932" t="s">
        <v>40</v>
      </c>
      <c r="B218" s="1942" t="s">
        <v>957</v>
      </c>
      <c r="C218" s="1995"/>
      <c r="D218" s="1935"/>
      <c r="E218" s="1935"/>
      <c r="F218" s="1935"/>
      <c r="G218" s="1935"/>
      <c r="H218" s="1990"/>
      <c r="I218" s="2263">
        <v>218</v>
      </c>
    </row>
    <row r="219" spans="1:9" ht="45" customHeight="1" outlineLevel="1" x14ac:dyDescent="0.25">
      <c r="A219" s="1593">
        <v>119</v>
      </c>
      <c r="B219" s="1351" t="s">
        <v>609</v>
      </c>
      <c r="C219" s="199" t="s">
        <v>77</v>
      </c>
      <c r="D219" s="35">
        <v>0</v>
      </c>
      <c r="E219" s="311">
        <f>D219</f>
        <v>0</v>
      </c>
      <c r="F219" s="1302">
        <v>0</v>
      </c>
      <c r="G219" s="311">
        <f>F219</f>
        <v>0</v>
      </c>
      <c r="H219" s="1758" t="s">
        <v>1098</v>
      </c>
      <c r="I219" s="28">
        <v>219</v>
      </c>
    </row>
    <row r="220" spans="1:9" ht="30" customHeight="1" outlineLevel="1" x14ac:dyDescent="0.25">
      <c r="A220" s="84"/>
      <c r="B220" s="103" t="s">
        <v>1141</v>
      </c>
      <c r="C220" s="200" t="s">
        <v>77</v>
      </c>
      <c r="D220" s="312">
        <f>IF(AND(BGOEWRekenModule="Ja",Basisgegevens!$E$193=BGPartnerAP),BGOEWWoonvergoeding*12,0)</f>
        <v>0</v>
      </c>
      <c r="E220" s="1784" t="s">
        <v>269</v>
      </c>
      <c r="F220" s="937">
        <f>IF(AND(BGOEWRekenModule="Ja",Basisgegevens!$E$193=BGPartnerAG),BGOEWWoonvergoeding*12,0)</f>
        <v>0</v>
      </c>
      <c r="G220" s="1784" t="s">
        <v>269</v>
      </c>
      <c r="H220" s="1827" t="s">
        <v>949</v>
      </c>
      <c r="I220" s="69">
        <v>220</v>
      </c>
    </row>
    <row r="221" spans="1:9" outlineLevel="1" x14ac:dyDescent="0.25">
      <c r="A221" s="84"/>
      <c r="B221" s="103" t="s">
        <v>309</v>
      </c>
      <c r="C221" s="202" t="s">
        <v>77</v>
      </c>
      <c r="D221" s="312">
        <f>BG119aBijstand_AP</f>
        <v>0</v>
      </c>
      <c r="E221" s="312">
        <f>D221</f>
        <v>0</v>
      </c>
      <c r="F221" s="937">
        <f>BG119aBijstand_AG</f>
        <v>0</v>
      </c>
      <c r="G221" s="312">
        <f>F221</f>
        <v>0</v>
      </c>
      <c r="H221" s="1806" t="s">
        <v>1142</v>
      </c>
      <c r="I221" s="69">
        <v>221</v>
      </c>
    </row>
    <row r="222" spans="1:9" ht="45" outlineLevel="1" x14ac:dyDescent="0.25">
      <c r="A222" s="84"/>
      <c r="B222" s="103" t="s">
        <v>907</v>
      </c>
      <c r="C222" s="202" t="s">
        <v>77</v>
      </c>
      <c r="D222" s="1784" t="s">
        <v>269</v>
      </c>
      <c r="E222" s="312">
        <f>IF(BGKGBbij119a="Nee",0,BGKGBNaScheidingAP*12)</f>
        <v>0</v>
      </c>
      <c r="F222" s="1784" t="s">
        <v>269</v>
      </c>
      <c r="G222" s="312">
        <f>IF(BGKGBbij119a="Nee",0,BGKGBNaScheidingAG*12)</f>
        <v>0</v>
      </c>
      <c r="H222" s="1806" t="s">
        <v>906</v>
      </c>
      <c r="I222" s="69">
        <v>222</v>
      </c>
    </row>
    <row r="223" spans="1:9" ht="44.25" customHeight="1" outlineLevel="1" thickBot="1" x14ac:dyDescent="0.3">
      <c r="A223" s="85"/>
      <c r="B223" s="1041" t="s">
        <v>908</v>
      </c>
      <c r="C223" s="1362" t="s">
        <v>77</v>
      </c>
      <c r="D223" s="956">
        <v>0</v>
      </c>
      <c r="E223" s="314">
        <f>D223</f>
        <v>0</v>
      </c>
      <c r="F223" s="347">
        <v>0</v>
      </c>
      <c r="G223" s="314">
        <f>F223</f>
        <v>0</v>
      </c>
      <c r="H223" s="1759" t="s">
        <v>400</v>
      </c>
      <c r="I223" s="30">
        <v>223</v>
      </c>
    </row>
    <row r="224" spans="1:9" ht="15.75" thickBot="1" x14ac:dyDescent="0.3">
      <c r="A224" s="1877" t="s">
        <v>40</v>
      </c>
      <c r="B224" s="701" t="s">
        <v>793</v>
      </c>
      <c r="C224" s="702"/>
      <c r="D224" s="1871">
        <f>SUM(D219:D223)</f>
        <v>0</v>
      </c>
      <c r="E224" s="1346">
        <f>SUM(E219:E223)</f>
        <v>0</v>
      </c>
      <c r="F224" s="1346">
        <f>SUM(F219:F223)</f>
        <v>0</v>
      </c>
      <c r="G224" s="1872">
        <f>SUM(G219:G223)</f>
        <v>0</v>
      </c>
      <c r="H224" s="1873"/>
      <c r="I224" s="2415">
        <v>224</v>
      </c>
    </row>
    <row r="225" spans="1:9" ht="15.75" thickBot="1" x14ac:dyDescent="0.3">
      <c r="A225" s="1969"/>
      <c r="B225" s="1994"/>
      <c r="C225" s="1971"/>
      <c r="D225" s="1972"/>
      <c r="E225" s="1972"/>
      <c r="F225" s="1972"/>
      <c r="G225" s="1972"/>
      <c r="H225" s="2050"/>
      <c r="I225" s="2409">
        <v>225</v>
      </c>
    </row>
    <row r="226" spans="1:9" ht="16.5" thickBot="1" x14ac:dyDescent="0.3">
      <c r="A226" s="1932" t="s">
        <v>41</v>
      </c>
      <c r="B226" s="1942" t="s">
        <v>974</v>
      </c>
      <c r="C226" s="1995"/>
      <c r="D226" s="1935"/>
      <c r="E226" s="1935"/>
      <c r="F226" s="1935"/>
      <c r="G226" s="1935"/>
      <c r="H226" s="1990"/>
      <c r="I226" s="2263">
        <v>226</v>
      </c>
    </row>
    <row r="227" spans="1:9" ht="43.15" customHeight="1" outlineLevel="1" thickBot="1" x14ac:dyDescent="0.3">
      <c r="A227" s="31" t="s">
        <v>41</v>
      </c>
      <c r="B227" s="88" t="s">
        <v>1043</v>
      </c>
      <c r="C227" s="1874" t="s">
        <v>72</v>
      </c>
      <c r="D227" s="1878">
        <f>AL51aPensioenSparen_AP</f>
        <v>0</v>
      </c>
      <c r="E227" s="1878">
        <f>D227</f>
        <v>0</v>
      </c>
      <c r="F227" s="1878">
        <f>AL51aPensioenSparen_AG</f>
        <v>0</v>
      </c>
      <c r="G227" s="1752">
        <f>F227</f>
        <v>0</v>
      </c>
      <c r="H227" s="1831" t="str">
        <f>"Bijv. premie netto pensioensparen. Dit gaat dan over het bedrag dat boven de fiscaal gefaciliteerde pensioenopbouw tot max. € "&amp;Basisgegevens!C215&amp;" per jaar gaat."</f>
        <v>Bijv. premie netto pensioensparen. Dit gaat dan over het bedrag dat boven de fiscaal gefaciliteerde pensioenopbouw tot max. € 128810 per jaar gaat.</v>
      </c>
      <c r="I227" s="30">
        <v>227</v>
      </c>
    </row>
    <row r="228" spans="1:9" ht="15.75" outlineLevel="1" thickBot="1" x14ac:dyDescent="0.3">
      <c r="A228" s="1969"/>
      <c r="B228" s="1994"/>
      <c r="C228" s="1971"/>
      <c r="D228" s="1972"/>
      <c r="E228" s="1972"/>
      <c r="F228" s="1972"/>
      <c r="G228" s="1972"/>
      <c r="H228" s="2050"/>
      <c r="I228" s="2409">
        <v>228</v>
      </c>
    </row>
    <row r="229" spans="1:9" ht="16.5" outlineLevel="1" thickBot="1" x14ac:dyDescent="0.3">
      <c r="A229" s="2377"/>
      <c r="B229" s="2378" t="s">
        <v>971</v>
      </c>
      <c r="C229" s="2379"/>
      <c r="D229" s="1935"/>
      <c r="E229" s="1935"/>
      <c r="F229" s="1935"/>
      <c r="G229" s="1935"/>
      <c r="H229" s="1990"/>
      <c r="I229" s="2413">
        <v>229</v>
      </c>
    </row>
    <row r="230" spans="1:9" outlineLevel="1" x14ac:dyDescent="0.25">
      <c r="A230" s="2382" t="str">
        <f>A197</f>
        <v>41/57</v>
      </c>
      <c r="B230" s="2383" t="str">
        <f>B197</f>
        <v>Ink.afhankelijke bijdrage premie ZVW al betaald bij post 41 Looninkomsten</v>
      </c>
      <c r="C230" s="2384" t="s">
        <v>72</v>
      </c>
      <c r="D230" s="1756">
        <f>IF(Basisgegevens!D113="zie jaarloon (60)",0,Basisgegevens!D113)</f>
        <v>0</v>
      </c>
      <c r="E230" s="2073">
        <f t="shared" ref="E230:E235" si="0">D230</f>
        <v>0</v>
      </c>
      <c r="F230" s="1757">
        <f>IF(Basisgegevens!F113="zie jaarloon (60)",0,Basisgegevens!F113)</f>
        <v>0</v>
      </c>
      <c r="G230" s="2075">
        <f t="shared" ref="G230:G235" si="1">F230</f>
        <v>0</v>
      </c>
      <c r="H230" s="1870"/>
      <c r="I230" s="2436">
        <v>230</v>
      </c>
    </row>
    <row r="231" spans="1:9" outlineLevel="1" x14ac:dyDescent="0.25">
      <c r="A231" s="2350" t="str">
        <f>A205</f>
        <v>44/47/48</v>
      </c>
      <c r="B231" s="321" t="str">
        <f>B205</f>
        <v>Bruto arbeidsinkomen uit dienstbetrekking (1 en 2) als DGA? Nee (AP) / Nee (AG)</v>
      </c>
      <c r="C231" s="1392" t="s">
        <v>72</v>
      </c>
      <c r="D231" s="937">
        <f>E205</f>
        <v>0</v>
      </c>
      <c r="E231" s="2074">
        <f t="shared" ref="E231:E232" si="2">D231</f>
        <v>0</v>
      </c>
      <c r="F231" s="312">
        <f>G205</f>
        <v>0</v>
      </c>
      <c r="G231" s="1335">
        <f t="shared" ref="G231:G232" si="3">F231</f>
        <v>0</v>
      </c>
      <c r="H231" s="1794"/>
      <c r="I231" s="998">
        <v>231</v>
      </c>
    </row>
    <row r="232" spans="1:9" outlineLevel="1" x14ac:dyDescent="0.25">
      <c r="A232" s="2350" t="str">
        <f>A198</f>
        <v>42/57</v>
      </c>
      <c r="B232" s="321" t="str">
        <f>B198</f>
        <v>Ink.afhankelijke bijdrage premie ZVW al betaald bij post 42 AOW</v>
      </c>
      <c r="C232" s="1392" t="s">
        <v>72</v>
      </c>
      <c r="D232" s="937">
        <f>Basisgegevens!D123</f>
        <v>0</v>
      </c>
      <c r="E232" s="2074">
        <f t="shared" si="2"/>
        <v>0</v>
      </c>
      <c r="F232" s="312">
        <f>Basisgegevens!F123</f>
        <v>0</v>
      </c>
      <c r="G232" s="1335">
        <f t="shared" si="3"/>
        <v>0</v>
      </c>
      <c r="H232" s="1794"/>
      <c r="I232" s="998">
        <v>232</v>
      </c>
    </row>
    <row r="233" spans="1:9" outlineLevel="1" x14ac:dyDescent="0.25">
      <c r="A233" s="2350" t="str">
        <f>A199</f>
        <v>50/57</v>
      </c>
      <c r="B233" s="321" t="str">
        <f>B199</f>
        <v>Ink.afhankelijke bijdrage premie ZVW al betaald bij post 50 Pensioen</v>
      </c>
      <c r="C233" s="1392" t="s">
        <v>72</v>
      </c>
      <c r="D233" s="937">
        <f>Basisgegevens!D140</f>
        <v>0</v>
      </c>
      <c r="E233" s="2074">
        <f t="shared" si="0"/>
        <v>0</v>
      </c>
      <c r="F233" s="312">
        <f>Basisgegevens!F140</f>
        <v>0</v>
      </c>
      <c r="G233" s="1335">
        <f t="shared" si="1"/>
        <v>0</v>
      </c>
      <c r="H233" s="1794"/>
      <c r="I233" s="998">
        <v>233</v>
      </c>
    </row>
    <row r="234" spans="1:9" outlineLevel="1" x14ac:dyDescent="0.25">
      <c r="A234" s="2350">
        <f t="shared" ref="A234:B239" si="4">A206</f>
        <v>75</v>
      </c>
      <c r="B234" s="321" t="str">
        <f t="shared" si="4"/>
        <v>Belastbare winst uit onderneming</v>
      </c>
      <c r="C234" s="1392" t="s">
        <v>72</v>
      </c>
      <c r="D234" s="937">
        <f t="shared" ref="D234:D239" si="5">E206</f>
        <v>0</v>
      </c>
      <c r="E234" s="2074">
        <f t="shared" si="0"/>
        <v>0</v>
      </c>
      <c r="F234" s="312">
        <f t="shared" ref="F234:F239" si="6">G206</f>
        <v>0</v>
      </c>
      <c r="G234" s="1335">
        <f t="shared" si="1"/>
        <v>0</v>
      </c>
      <c r="H234" s="1794"/>
      <c r="I234" s="998">
        <v>234</v>
      </c>
    </row>
    <row r="235" spans="1:9" outlineLevel="1" x14ac:dyDescent="0.25">
      <c r="A235" s="2350">
        <f t="shared" si="4"/>
        <v>78</v>
      </c>
      <c r="B235" s="321" t="str">
        <f t="shared" si="4"/>
        <v>Belastbaar resultaat uit overige werkzaamheden</v>
      </c>
      <c r="C235" s="1392" t="s">
        <v>72</v>
      </c>
      <c r="D235" s="937">
        <f t="shared" si="5"/>
        <v>0</v>
      </c>
      <c r="E235" s="2074">
        <f t="shared" si="0"/>
        <v>0</v>
      </c>
      <c r="F235" s="312">
        <f t="shared" si="6"/>
        <v>0</v>
      </c>
      <c r="G235" s="1335">
        <f t="shared" si="1"/>
        <v>0</v>
      </c>
      <c r="H235" s="1794"/>
      <c r="I235" s="998">
        <v>235</v>
      </c>
    </row>
    <row r="236" spans="1:9" outlineLevel="1" x14ac:dyDescent="0.25">
      <c r="A236" s="2351" t="str">
        <f t="shared" si="4"/>
        <v>79a</v>
      </c>
      <c r="B236" s="281" t="str">
        <f t="shared" si="4"/>
        <v>VEW: Ontvangen hypotheekrente als partneralimentatie</v>
      </c>
      <c r="C236" s="1353" t="s">
        <v>72</v>
      </c>
      <c r="D236" s="2376">
        <f t="shared" si="5"/>
        <v>0</v>
      </c>
      <c r="E236" s="919" t="s">
        <v>783</v>
      </c>
      <c r="F236" s="312">
        <f t="shared" si="6"/>
        <v>0</v>
      </c>
      <c r="G236" s="919" t="s">
        <v>783</v>
      </c>
      <c r="H236" s="1794"/>
      <c r="I236" s="2437">
        <v>236</v>
      </c>
    </row>
    <row r="237" spans="1:9" outlineLevel="1" x14ac:dyDescent="0.25">
      <c r="A237" s="2350">
        <f t="shared" si="4"/>
        <v>81</v>
      </c>
      <c r="B237" s="321" t="str">
        <f t="shared" si="4"/>
        <v>Belastbare periodieke uitkeringen en verstrekkingen</v>
      </c>
      <c r="C237" s="1392" t="s">
        <v>72</v>
      </c>
      <c r="D237" s="941">
        <f>AL81Periodieken_AP</f>
        <v>0</v>
      </c>
      <c r="E237" s="1862">
        <f>AL81Periodieken_KA_AP</f>
        <v>0</v>
      </c>
      <c r="F237" s="312">
        <f>AL81Periodieken_AG</f>
        <v>0</v>
      </c>
      <c r="G237" s="1296">
        <f>AL81Periodieken_KA_AG</f>
        <v>0</v>
      </c>
      <c r="H237" s="1795"/>
      <c r="I237" s="998">
        <v>237</v>
      </c>
    </row>
    <row r="238" spans="1:9" outlineLevel="1" x14ac:dyDescent="0.25">
      <c r="A238" s="2350" t="str">
        <f t="shared" si="4"/>
        <v>117a</v>
      </c>
      <c r="B238" s="321" t="str">
        <f t="shared" si="4"/>
        <v>OEW: Eigen Woning Forfait bijdrage ZVW over EWF berekenen over</v>
      </c>
      <c r="C238" s="1392" t="s">
        <v>72</v>
      </c>
      <c r="D238" s="941">
        <f t="shared" ca="1" si="5"/>
        <v>0</v>
      </c>
      <c r="E238" s="1862">
        <f ca="1">D238</f>
        <v>0</v>
      </c>
      <c r="F238" s="312">
        <f t="shared" ca="1" si="6"/>
        <v>0</v>
      </c>
      <c r="G238" s="1296">
        <f ca="1">F238</f>
        <v>0</v>
      </c>
      <c r="H238" s="1863"/>
      <c r="I238" s="998">
        <v>238</v>
      </c>
    </row>
    <row r="239" spans="1:9" ht="15.75" outlineLevel="1" thickBot="1" x14ac:dyDescent="0.3">
      <c r="A239" s="2352" t="str">
        <f t="shared" si="4"/>
        <v>117a</v>
      </c>
      <c r="B239" s="1229" t="str">
        <f t="shared" si="4"/>
        <v>OEW: Rente bijdrage ZVW over de rente berekenen over</v>
      </c>
      <c r="C239" s="1416" t="s">
        <v>72</v>
      </c>
      <c r="D239" s="1042">
        <f t="shared" ca="1" si="5"/>
        <v>0</v>
      </c>
      <c r="E239" s="1875">
        <f ca="1">D239</f>
        <v>0</v>
      </c>
      <c r="F239" s="314">
        <f t="shared" ca="1" si="6"/>
        <v>0</v>
      </c>
      <c r="G239" s="2076">
        <f ca="1">F239</f>
        <v>0</v>
      </c>
      <c r="H239" s="1876"/>
      <c r="I239" s="999">
        <v>239</v>
      </c>
    </row>
    <row r="240" spans="1:9" ht="15.75" thickBot="1" x14ac:dyDescent="0.3">
      <c r="A240" s="2380" t="s">
        <v>41</v>
      </c>
      <c r="B240" s="2381" t="s">
        <v>311</v>
      </c>
      <c r="C240" s="2110"/>
      <c r="D240" s="1301">
        <f ca="1">D227+SUM(D230:D239)</f>
        <v>0</v>
      </c>
      <c r="E240" s="1301">
        <f t="shared" ref="E240:G240" ca="1" si="7">E227+SUM(E230:E239)</f>
        <v>0</v>
      </c>
      <c r="F240" s="1301">
        <f t="shared" ca="1" si="7"/>
        <v>0</v>
      </c>
      <c r="G240" s="1301">
        <f t="shared" ca="1" si="7"/>
        <v>0</v>
      </c>
      <c r="H240" s="1832"/>
      <c r="I240" s="2438">
        <v>240</v>
      </c>
    </row>
    <row r="241" spans="1:9" ht="30" outlineLevel="1" x14ac:dyDescent="0.25">
      <c r="A241" s="1483"/>
      <c r="B241" s="86" t="s">
        <v>236</v>
      </c>
      <c r="C241" s="1352"/>
      <c r="D241" s="311">
        <f ca="1">D192+D216+D224-D240</f>
        <v>0</v>
      </c>
      <c r="E241" s="1290">
        <f ca="1">E192+E216+E224-E240</f>
        <v>0</v>
      </c>
      <c r="F241" s="1290">
        <f ca="1">F192+F216+F224-F240</f>
        <v>0</v>
      </c>
      <c r="G241" s="1290">
        <f ca="1">G192+G216+G224-G240</f>
        <v>0</v>
      </c>
      <c r="H241" s="1833" t="s">
        <v>776</v>
      </c>
      <c r="I241" s="28">
        <v>241</v>
      </c>
    </row>
    <row r="242" spans="1:9" ht="30" outlineLevel="1" x14ac:dyDescent="0.25">
      <c r="A242" s="1485"/>
      <c r="B242" s="571" t="s">
        <v>794</v>
      </c>
      <c r="C242" s="1392" t="s">
        <v>72</v>
      </c>
      <c r="D242" s="962">
        <v>0</v>
      </c>
      <c r="E242" s="1350">
        <v>0</v>
      </c>
      <c r="F242" s="962">
        <v>0</v>
      </c>
      <c r="G242" s="1731">
        <v>0</v>
      </c>
      <c r="H242" s="1834" t="s">
        <v>230</v>
      </c>
      <c r="I242" s="69">
        <v>242</v>
      </c>
    </row>
    <row r="243" spans="1:9" ht="15.75" outlineLevel="1" thickBot="1" x14ac:dyDescent="0.3">
      <c r="A243" s="1486"/>
      <c r="B243" s="88" t="s">
        <v>899</v>
      </c>
      <c r="C243" s="1416" t="s">
        <v>72</v>
      </c>
      <c r="D243" s="314">
        <f>D108</f>
        <v>0</v>
      </c>
      <c r="E243" s="941">
        <f>E108</f>
        <v>0</v>
      </c>
      <c r="F243" s="314">
        <f>F108</f>
        <v>0</v>
      </c>
      <c r="G243" s="1296">
        <f>G108</f>
        <v>0</v>
      </c>
      <c r="H243" s="1797"/>
      <c r="I243" s="30">
        <v>243</v>
      </c>
    </row>
    <row r="244" spans="1:9" ht="30.75" thickBot="1" x14ac:dyDescent="0.3">
      <c r="A244" s="1683">
        <v>120</v>
      </c>
      <c r="B244" s="1682" t="s">
        <v>1130</v>
      </c>
      <c r="C244" s="1684"/>
      <c r="D244" s="1776">
        <f ca="1">D241-SUM(D242:D243)</f>
        <v>0</v>
      </c>
      <c r="E244" s="1776">
        <f ca="1">E241-SUM(E242:E243)</f>
        <v>0</v>
      </c>
      <c r="F244" s="1776">
        <f ca="1">F241-SUM(F242:F243)</f>
        <v>0</v>
      </c>
      <c r="G244" s="1776">
        <f ca="1">G241-SUM(G242:G243)</f>
        <v>0</v>
      </c>
      <c r="H244" s="1835" t="s">
        <v>401</v>
      </c>
      <c r="I244" s="2439">
        <v>244</v>
      </c>
    </row>
    <row r="245" spans="1:9" ht="15.75" thickBot="1" x14ac:dyDescent="0.3">
      <c r="A245" s="1683"/>
      <c r="B245" s="1682"/>
      <c r="C245" s="1684"/>
      <c r="D245" s="1776"/>
      <c r="E245" s="1776"/>
      <c r="F245" s="1776"/>
      <c r="G245" s="1776"/>
      <c r="H245" s="1835"/>
      <c r="I245" s="2439">
        <v>245</v>
      </c>
    </row>
    <row r="246" spans="1:9" ht="15.75" thickBot="1" x14ac:dyDescent="0.3">
      <c r="A246" s="184">
        <v>121</v>
      </c>
      <c r="B246" s="185" t="s">
        <v>466</v>
      </c>
      <c r="C246" s="195"/>
      <c r="D246" s="924">
        <f ca="1">D244/12</f>
        <v>0</v>
      </c>
      <c r="E246" s="924">
        <f ca="1">(E244/12)</f>
        <v>0</v>
      </c>
      <c r="F246" s="924">
        <f ca="1">F244/12</f>
        <v>0</v>
      </c>
      <c r="G246" s="924">
        <f ca="1">(G244/12)</f>
        <v>0</v>
      </c>
      <c r="H246" s="1798" t="s">
        <v>237</v>
      </c>
      <c r="I246" s="601">
        <v>246</v>
      </c>
    </row>
    <row r="247" spans="1:9" ht="15.75" thickBot="1" x14ac:dyDescent="0.3">
      <c r="A247" s="1879"/>
      <c r="B247" s="1880" t="s">
        <v>403</v>
      </c>
      <c r="C247" s="1881"/>
      <c r="D247" s="1882">
        <f ca="1">D246*Basisgegevens!$C222</f>
        <v>0</v>
      </c>
      <c r="E247" s="1883">
        <f ca="1">E246*Basisgegevens!$C222</f>
        <v>0</v>
      </c>
      <c r="F247" s="1882">
        <f ca="1">F246*Basisgegevens!$C222</f>
        <v>0</v>
      </c>
      <c r="G247" s="1884">
        <f ca="1">G246*Basisgegevens!$C222</f>
        <v>0</v>
      </c>
      <c r="H247" s="1885"/>
      <c r="I247" s="2440">
        <v>247</v>
      </c>
    </row>
    <row r="248" spans="1:9" ht="15.75" thickBot="1" x14ac:dyDescent="0.3">
      <c r="A248" s="1890"/>
      <c r="B248" s="115"/>
      <c r="C248" s="1891"/>
      <c r="D248" s="1865"/>
      <c r="E248" s="966"/>
      <c r="F248" s="1865"/>
      <c r="G248" s="966"/>
      <c r="H248" s="1828"/>
      <c r="I248" s="169">
        <v>248</v>
      </c>
    </row>
    <row r="249" spans="1:9" ht="21.75" thickBot="1" x14ac:dyDescent="0.3">
      <c r="A249" s="2479"/>
      <c r="B249" s="2480" t="s">
        <v>313</v>
      </c>
      <c r="C249" s="2481"/>
      <c r="D249" s="2488"/>
      <c r="E249" s="2488"/>
      <c r="F249" s="2482"/>
      <c r="G249" s="2488"/>
      <c r="H249" s="2483"/>
      <c r="I249" s="2486">
        <v>249</v>
      </c>
    </row>
    <row r="250" spans="1:9" ht="16.5" outlineLevel="1" thickBot="1" x14ac:dyDescent="0.3">
      <c r="A250" s="2499"/>
      <c r="B250" s="2503" t="s">
        <v>43</v>
      </c>
      <c r="C250" s="1754"/>
      <c r="D250" s="2504"/>
      <c r="E250" s="2504"/>
      <c r="F250" s="2505"/>
      <c r="G250" s="2504"/>
      <c r="H250" s="2506"/>
      <c r="I250" s="1253">
        <v>250</v>
      </c>
    </row>
    <row r="251" spans="1:9" outlineLevel="1" x14ac:dyDescent="0.25">
      <c r="A251" s="1593">
        <v>122</v>
      </c>
      <c r="B251" s="86" t="s">
        <v>891</v>
      </c>
      <c r="C251" s="199"/>
      <c r="D251" s="311">
        <f ca="1">Basisgegevens!C234</f>
        <v>1125</v>
      </c>
      <c r="E251" s="1040">
        <f ca="1">Basisgegevens!C234</f>
        <v>1125</v>
      </c>
      <c r="F251" s="935">
        <f ca="1">Basisgegevens!D234</f>
        <v>1125</v>
      </c>
      <c r="G251" s="1040">
        <f ca="1">Basisgegevens!D234</f>
        <v>1125</v>
      </c>
      <c r="H251" s="1758"/>
      <c r="I251" s="28">
        <v>251</v>
      </c>
    </row>
    <row r="252" spans="1:9" ht="30" customHeight="1" outlineLevel="1" thickBot="1" x14ac:dyDescent="0.3">
      <c r="A252" s="85">
        <v>123</v>
      </c>
      <c r="B252" s="1041" t="str">
        <f>"Woonbudget ("&amp;Basisgegevens!C224*100&amp;"% van post 122, of indien 121 hoger is het werkelijke bedrag)"</f>
        <v>Woonbudget (30% van post 122, of indien 121 hoger is het werkelijke bedrag)</v>
      </c>
      <c r="C252" s="201" t="s">
        <v>77</v>
      </c>
      <c r="D252" s="1134">
        <f ca="1">IF(BG123WoonbudgetPercentage*D246&lt;Basisgegevens!$C223,Basisgegevens!$C223,BG123WoonbudgetPercentage*D246)</f>
        <v>350</v>
      </c>
      <c r="E252" s="1134">
        <f ca="1">IF(OR(E246*BG123WoonbudgetPercentage&lt;BG123MinForfWoonlast,E246&lt;IF(BGAOWLeeftijdBereikt_AG="Nee",Basisgegevens!$E253,Basisgegevens!$E263)),BG123MinForfWoonlast,E246*BG123WoonbudgetPercentage)</f>
        <v>350</v>
      </c>
      <c r="F252" s="2508">
        <f ca="1">IF(BG123WoonbudgetPercentage*F246&lt;BG123MinForfWoonlast,BG123MinForfWoonlast,BG123WoonbudgetPercentage*F246)</f>
        <v>350</v>
      </c>
      <c r="G252" s="1134">
        <f ca="1">IF(OR(G246*BG123WoonbudgetPercentage&lt;BG123MinForfWoonlast,G246&lt;IF(BGAOWLeeftijdBereikt_AG="Nee",Basisgegevens!$E253,Basisgegevens!$E263)),BG123MinForfWoonlast,G246*BG123WoonbudgetPercentage)</f>
        <v>350</v>
      </c>
      <c r="H252" s="1837" t="str">
        <f>"Bij kinderalimentatie geldt er een minimum bedrag van € "&amp;Basisgegevens!C223&amp;" als de draagkracht lager is dan € "&amp;Basisgegevens!$E253&amp;" (Werkend) of  € "&amp;Basisgegevens!$E263&amp;" (AOW)"</f>
        <v>Bij kinderalimentatie geldt er een minimum bedrag van € 350 als de draagkracht lager is dan € 1930 (Werkend) of  € 2090 (AOW)</v>
      </c>
      <c r="I252" s="30">
        <v>252</v>
      </c>
    </row>
    <row r="253" spans="1:9" ht="15.75" outlineLevel="1" thickBot="1" x14ac:dyDescent="0.3">
      <c r="A253" s="1953"/>
      <c r="B253" s="1359"/>
      <c r="C253" s="1762"/>
      <c r="D253" s="2507"/>
      <c r="E253" s="2507"/>
      <c r="F253" s="2102"/>
      <c r="G253" s="2507"/>
      <c r="H253" s="2478"/>
      <c r="I253" s="332">
        <v>253</v>
      </c>
    </row>
    <row r="254" spans="1:9" ht="15.75" outlineLevel="1" thickBot="1" x14ac:dyDescent="0.3">
      <c r="A254" s="1780"/>
      <c r="B254" s="2493" t="s">
        <v>1096</v>
      </c>
      <c r="C254" s="1364"/>
      <c r="D254" s="2497"/>
      <c r="E254" s="2497"/>
      <c r="F254" s="2498"/>
      <c r="G254" s="2497"/>
      <c r="H254" s="2496"/>
      <c r="I254" s="2093">
        <v>254</v>
      </c>
    </row>
    <row r="255" spans="1:9" ht="45" customHeight="1" outlineLevel="1" thickBot="1" x14ac:dyDescent="0.3">
      <c r="A255" s="2499">
        <v>123</v>
      </c>
      <c r="B255" s="2500" t="s">
        <v>1131</v>
      </c>
      <c r="C255" s="1754" t="s">
        <v>77</v>
      </c>
      <c r="D255" s="2501">
        <f>Woonlasten_afwijkend!$D46</f>
        <v>0</v>
      </c>
      <c r="E255" s="2501">
        <f>Woonlasten_afwijkend!$D46</f>
        <v>0</v>
      </c>
      <c r="F255" s="2502">
        <f>Woonlasten_afwijkend!$E46</f>
        <v>0</v>
      </c>
      <c r="G255" s="2501">
        <f>Woonlasten_afwijkend!$E46</f>
        <v>0</v>
      </c>
      <c r="H255" s="2487" t="s">
        <v>1132</v>
      </c>
      <c r="I255" s="1253">
        <v>255</v>
      </c>
    </row>
    <row r="256" spans="1:9" ht="15.75" outlineLevel="1" thickBot="1" x14ac:dyDescent="0.3">
      <c r="A256" s="1574"/>
      <c r="B256" s="2069" t="s">
        <v>918</v>
      </c>
      <c r="C256" s="453"/>
      <c r="D256" s="882" t="s">
        <v>110</v>
      </c>
      <c r="E256" s="882" t="s">
        <v>110</v>
      </c>
      <c r="F256" s="698" t="s">
        <v>110</v>
      </c>
      <c r="G256" s="882" t="s">
        <v>110</v>
      </c>
      <c r="H256" s="2475" t="s">
        <v>981</v>
      </c>
      <c r="I256" s="169">
        <v>256</v>
      </c>
    </row>
    <row r="257" spans="1:9" ht="15.75" outlineLevel="1" thickBot="1" x14ac:dyDescent="0.3">
      <c r="A257" s="1953"/>
      <c r="B257" s="1359"/>
      <c r="C257" s="1762"/>
      <c r="D257" s="2491"/>
      <c r="E257" s="2491"/>
      <c r="F257" s="2492"/>
      <c r="G257" s="2491"/>
      <c r="H257" s="2478"/>
      <c r="I257" s="332">
        <v>257</v>
      </c>
    </row>
    <row r="258" spans="1:9" ht="15.75" outlineLevel="1" thickBot="1" x14ac:dyDescent="0.3">
      <c r="A258" s="1780"/>
      <c r="B258" s="2493" t="s">
        <v>1097</v>
      </c>
      <c r="C258" s="1364"/>
      <c r="D258" s="2494"/>
      <c r="E258" s="2494"/>
      <c r="F258" s="2495"/>
      <c r="G258" s="1356"/>
      <c r="H258" s="2496"/>
      <c r="I258" s="2093">
        <v>258</v>
      </c>
    </row>
    <row r="259" spans="1:9" outlineLevel="1" x14ac:dyDescent="0.25">
      <c r="A259" s="1593"/>
      <c r="B259" s="1351" t="str">
        <f>Basisgegevens!B11</f>
        <v>Onderhoudsplichtig &amp; nieuwe partner met eigen inkomen?</v>
      </c>
      <c r="C259" s="199"/>
      <c r="D259" s="1040" t="str">
        <f>BG_NwPartner_AP</f>
        <v>Nee</v>
      </c>
      <c r="E259" s="1040" t="str">
        <f>BG_NwPartner_AP</f>
        <v>Nee</v>
      </c>
      <c r="F259" s="2615" t="s">
        <v>269</v>
      </c>
      <c r="G259" s="2615" t="s">
        <v>269</v>
      </c>
      <c r="H259" s="2612" t="str">
        <f>Basisgegevens!E11</f>
        <v>Bij draagkrachttekort beoordelen of er bij onderhoudsplichtige sprake is van duurzaam en aanmerkelijk lagere werkelijke woonlasten dan de 30% forfait norm. Bij een nieuwe partner draagt deze 50% hiervan!</v>
      </c>
      <c r="I259" s="28">
        <v>259</v>
      </c>
    </row>
    <row r="260" spans="1:9" ht="15.75" outlineLevel="1" thickBot="1" x14ac:dyDescent="0.3">
      <c r="A260" s="158"/>
      <c r="B260" s="1357" t="str">
        <f>Basisgegevens!B12</f>
        <v>Bijdrage van nieuwe partner in de woonlast (50% = norm)</v>
      </c>
      <c r="C260" s="208"/>
      <c r="D260" s="2490">
        <f>BG_NwPartner_Percentage_AP</f>
        <v>0.5</v>
      </c>
      <c r="E260" s="2490">
        <f>BG_NwPartner_Percentage_AP</f>
        <v>0.5</v>
      </c>
      <c r="F260" s="2616"/>
      <c r="G260" s="2616"/>
      <c r="H260" s="2613"/>
      <c r="I260" s="174">
        <v>260</v>
      </c>
    </row>
    <row r="261" spans="1:9" ht="15.75" outlineLevel="1" thickBot="1" x14ac:dyDescent="0.3">
      <c r="A261" s="1574"/>
      <c r="B261" s="2069" t="str">
        <f>"Bijdrage nieuwe partner a "&amp;BG_NwPartner_Percentage_AP*100&amp;"% doorvoeren op de "&amp;IF(D256="Nee","forfaitaire","werkelijke")&amp;"/"&amp;IF(E256="Nee","forfaitaire","werkelijke")&amp;" woonlasten? "</f>
        <v xml:space="preserve">Bijdrage nieuwe partner a 50% doorvoeren op de forfaitaire/forfaitaire woonlasten? </v>
      </c>
      <c r="C261" s="453"/>
      <c r="D261" s="882" t="s">
        <v>110</v>
      </c>
      <c r="E261" s="882" t="s">
        <v>110</v>
      </c>
      <c r="F261" s="2617"/>
      <c r="G261" s="2617"/>
      <c r="H261" s="2614"/>
      <c r="I261" s="169">
        <v>261</v>
      </c>
    </row>
    <row r="262" spans="1:9" ht="15.75" thickBot="1" x14ac:dyDescent="0.3">
      <c r="A262" s="1492">
        <v>123</v>
      </c>
      <c r="B262" s="2484" t="s">
        <v>857</v>
      </c>
      <c r="C262" s="398"/>
      <c r="D262" s="2489">
        <f ca="1">IF(D256="Nee",IF(OR(D259="Nee",D261="Nee"),D252,D252*D260),IF(D261="Nee",Woonlasten_afwijkend!$D46,Woonlasten_afwijkend!$D46*D260))</f>
        <v>350</v>
      </c>
      <c r="E262" s="2489">
        <f ca="1">IF(E256="Nee",IF(OR(E259="Nee",E261="Nee"),E252,E252*E260),IF(E261="Nee",Woonlasten_afwijkend!$D46,Woonlasten_afwijkend!$D46*E260))</f>
        <v>350</v>
      </c>
      <c r="F262" s="969">
        <f ca="1">IF(F256="Nee",F252,Woonlasten_afwijkend!$E46)</f>
        <v>350</v>
      </c>
      <c r="G262" s="2489">
        <f ca="1">IF(G256="Nee",G252,Woonlasten_afwijkend!$E46)</f>
        <v>350</v>
      </c>
      <c r="H262" s="2485"/>
      <c r="I262" s="2438">
        <v>262</v>
      </c>
    </row>
    <row r="263" spans="1:9" outlineLevel="1" x14ac:dyDescent="0.25">
      <c r="A263" s="2002"/>
      <c r="B263" s="2003"/>
      <c r="C263" s="2004"/>
      <c r="D263" s="2005"/>
      <c r="E263" s="2006"/>
      <c r="F263" s="2005"/>
      <c r="G263" s="2006"/>
      <c r="H263" s="2051"/>
      <c r="I263" s="2055">
        <v>263</v>
      </c>
    </row>
    <row r="264" spans="1:9" ht="18.75" outlineLevel="1" x14ac:dyDescent="0.25">
      <c r="A264" s="2013"/>
      <c r="B264" s="2301" t="s">
        <v>1133</v>
      </c>
      <c r="C264" s="2007"/>
      <c r="D264" s="1367"/>
      <c r="E264" s="2008"/>
      <c r="F264" s="2009"/>
      <c r="G264" s="2008"/>
      <c r="H264" s="2052"/>
      <c r="I264" s="2056">
        <v>264</v>
      </c>
    </row>
    <row r="265" spans="1:9" ht="15.75" thickBot="1" x14ac:dyDescent="0.3">
      <c r="A265" s="2010"/>
      <c r="B265" s="2011"/>
      <c r="C265" s="2012"/>
      <c r="D265" s="1851"/>
      <c r="E265" s="1851"/>
      <c r="F265" s="1851"/>
      <c r="G265" s="1851"/>
      <c r="H265" s="1956"/>
      <c r="I265" s="2441">
        <v>265</v>
      </c>
    </row>
    <row r="266" spans="1:9" s="2305" customFormat="1" ht="75.75" outlineLevel="1" thickBot="1" x14ac:dyDescent="0.3">
      <c r="A266" s="1716">
        <v>134</v>
      </c>
      <c r="B266" s="323" t="s">
        <v>51</v>
      </c>
      <c r="C266" s="2302" t="s">
        <v>77</v>
      </c>
      <c r="D266" s="2303">
        <v>0</v>
      </c>
      <c r="E266" s="2466" t="s">
        <v>269</v>
      </c>
      <c r="F266" s="2303">
        <v>0</v>
      </c>
      <c r="G266" s="2466" t="s">
        <v>269</v>
      </c>
      <c r="H266" s="2304" t="s">
        <v>402</v>
      </c>
      <c r="I266" s="2414">
        <v>266</v>
      </c>
    </row>
    <row r="267" spans="1:9" ht="16.5" thickBot="1" x14ac:dyDescent="0.3">
      <c r="A267" s="1492">
        <v>135</v>
      </c>
      <c r="B267" s="2014" t="s">
        <v>326</v>
      </c>
      <c r="C267" s="2000" t="s">
        <v>72</v>
      </c>
      <c r="D267" s="915">
        <f ca="1">D251+D262+D266</f>
        <v>1475</v>
      </c>
      <c r="E267" s="915">
        <f ca="1">E251+E262</f>
        <v>1475</v>
      </c>
      <c r="F267" s="915">
        <f ca="1">F251+F262+F266</f>
        <v>1475</v>
      </c>
      <c r="G267" s="915">
        <f ca="1">G251+G262</f>
        <v>1475</v>
      </c>
      <c r="H267" s="1816" t="s">
        <v>245</v>
      </c>
      <c r="I267" s="2417">
        <v>267</v>
      </c>
    </row>
    <row r="268" spans="1:9" ht="15.75" thickBot="1" x14ac:dyDescent="0.3">
      <c r="A268" s="1890"/>
      <c r="B268" s="115"/>
      <c r="C268" s="1891"/>
      <c r="D268" s="1865"/>
      <c r="E268" s="1930"/>
      <c r="F268" s="1865"/>
      <c r="G268" s="966"/>
      <c r="H268" s="1828"/>
      <c r="I268" s="169">
        <v>268</v>
      </c>
    </row>
    <row r="269" spans="1:9" ht="21.75" thickBot="1" x14ac:dyDescent="0.3">
      <c r="A269" s="2015"/>
      <c r="B269" s="1957" t="s">
        <v>52</v>
      </c>
      <c r="C269" s="2016"/>
      <c r="D269" s="2017"/>
      <c r="E269" s="2018"/>
      <c r="F269" s="2017"/>
      <c r="G269" s="2019"/>
      <c r="H269" s="2020"/>
      <c r="I269" s="2057">
        <v>269</v>
      </c>
    </row>
    <row r="270" spans="1:9" x14ac:dyDescent="0.25">
      <c r="A270" s="1484"/>
      <c r="B270" s="414" t="str">
        <f>B246</f>
        <v>Netto Besteedbaar Inkomen (NBI) per maand:</v>
      </c>
      <c r="C270" s="202"/>
      <c r="D270" s="925">
        <f ca="1">D246</f>
        <v>0</v>
      </c>
      <c r="E270" s="942">
        <f ca="1">E246</f>
        <v>0</v>
      </c>
      <c r="F270" s="925">
        <f ca="1">F246</f>
        <v>0</v>
      </c>
      <c r="G270" s="1290">
        <f ca="1">G246</f>
        <v>0</v>
      </c>
      <c r="H270" s="1817"/>
      <c r="I270" s="70">
        <v>270</v>
      </c>
    </row>
    <row r="271" spans="1:9" ht="15.75" thickBot="1" x14ac:dyDescent="0.3">
      <c r="A271" s="1488"/>
      <c r="B271" s="415" t="str">
        <f>B267</f>
        <v>Draagkrachtloos inkomen:</v>
      </c>
      <c r="C271" s="208"/>
      <c r="D271" s="927">
        <f ca="1">D267</f>
        <v>1475</v>
      </c>
      <c r="E271" s="941">
        <f ca="1">E267</f>
        <v>1475</v>
      </c>
      <c r="F271" s="927">
        <f ca="1">F267</f>
        <v>1475</v>
      </c>
      <c r="G271" s="1296">
        <f ca="1">G267</f>
        <v>1475</v>
      </c>
      <c r="H271" s="1807"/>
      <c r="I271" s="174">
        <v>271</v>
      </c>
    </row>
    <row r="272" spans="1:9" ht="16.5" thickBot="1" x14ac:dyDescent="0.3">
      <c r="A272" s="1505">
        <v>136</v>
      </c>
      <c r="B272" s="1892" t="s">
        <v>327</v>
      </c>
      <c r="C272" s="1858"/>
      <c r="D272" s="1346">
        <f ca="1">D246-D267</f>
        <v>-1475</v>
      </c>
      <c r="E272" s="2021">
        <f ca="1">E246-E267</f>
        <v>-1475</v>
      </c>
      <c r="F272" s="1346">
        <f ca="1">F246-F267</f>
        <v>-1475</v>
      </c>
      <c r="G272" s="1872">
        <f ca="1">G246-G267</f>
        <v>-1475</v>
      </c>
      <c r="H272" s="1894" t="s">
        <v>246</v>
      </c>
      <c r="I272" s="2415">
        <v>272</v>
      </c>
    </row>
    <row r="273" spans="1:9" ht="15.75" outlineLevel="1" thickBot="1" x14ac:dyDescent="0.3">
      <c r="A273" s="1936"/>
      <c r="B273" s="1928"/>
      <c r="C273" s="1929"/>
      <c r="D273" s="2022" t="str">
        <f ca="1">IF(D272&lt;=0,"Geen Draagkrachteruimte","")</f>
        <v>Geen Draagkrachteruimte</v>
      </c>
      <c r="E273" s="1930"/>
      <c r="F273" s="2022" t="str">
        <f ca="1">IF(F272&lt;=0,"Geen Draagkrachteruimte","")</f>
        <v>Geen Draagkrachteruimte</v>
      </c>
      <c r="G273" s="1930"/>
      <c r="H273" s="1828"/>
      <c r="I273" s="2054">
        <v>273</v>
      </c>
    </row>
    <row r="274" spans="1:9" ht="60" customHeight="1" outlineLevel="1" thickBot="1" x14ac:dyDescent="0.3">
      <c r="A274" s="1368"/>
      <c r="B274" s="2023" t="s">
        <v>587</v>
      </c>
      <c r="C274" s="194"/>
      <c r="D274" s="2024">
        <f>Basisgegevens!$C$227</f>
        <v>0.6</v>
      </c>
      <c r="E274" s="2025">
        <f>Basisgegevens!$E$227</f>
        <v>0.7</v>
      </c>
      <c r="F274" s="2024">
        <f>Basisgegevens!$D$227</f>
        <v>0.6</v>
      </c>
      <c r="G274" s="2026">
        <f>Basisgegevens!$E$227</f>
        <v>0.7</v>
      </c>
      <c r="H274" s="94" t="str">
        <f>"Draagkrachtpercentage = "&amp;Basisgegevens!C227*100&amp;"% bijeen alleenstaande onderhouds-plichtige of 45% bij onderhoudsplichtige met een (nieuw) gezin. Voor kinderalimentatie is dit "&amp;Basisgegevens!E227*100&amp;"%). LET OP: 'Gezin' kan (soms) ruimer worden opgevat: Een alleenstaande met kind(eren) is dan ook een gezin."</f>
        <v>Draagkrachtpercentage = 60% bijeen alleenstaande onderhouds-plichtige of 45% bij onderhoudsplichtige met een (nieuw) gezin. Voor kinderalimentatie is dit 70%). LET OP: 'Gezin' kan (soms) ruimer worden opgevat: Een alleenstaande met kind(eren) is dan ook een gezin.</v>
      </c>
      <c r="I274" s="332">
        <v>274</v>
      </c>
    </row>
    <row r="275" spans="1:9" ht="15.75" outlineLevel="1" thickBot="1" x14ac:dyDescent="0.3">
      <c r="A275" s="1896"/>
      <c r="B275" s="1818"/>
      <c r="C275" s="1897"/>
      <c r="D275" s="1972"/>
      <c r="E275" s="2028"/>
      <c r="F275" s="1972"/>
      <c r="G275" s="2028"/>
      <c r="H275" s="1818"/>
      <c r="I275" s="1253">
        <v>275</v>
      </c>
    </row>
    <row r="276" spans="1:9" ht="21.75" outlineLevel="1" thickBot="1" x14ac:dyDescent="0.3">
      <c r="A276" s="2064"/>
      <c r="B276" s="1978" t="s">
        <v>58</v>
      </c>
      <c r="C276" s="2065"/>
      <c r="D276" s="2066"/>
      <c r="E276" s="2067"/>
      <c r="F276" s="2066"/>
      <c r="G276" s="2067"/>
      <c r="H276" s="2068"/>
      <c r="I276" s="2412">
        <v>276</v>
      </c>
    </row>
    <row r="277" spans="1:9" ht="30" customHeight="1" outlineLevel="1" x14ac:dyDescent="0.25">
      <c r="A277" s="1484">
        <v>137</v>
      </c>
      <c r="B277" s="2027" t="s">
        <v>270</v>
      </c>
      <c r="C277" s="202" t="s">
        <v>77</v>
      </c>
      <c r="D277" s="925">
        <f ca="1">D274*D272</f>
        <v>-885</v>
      </c>
      <c r="E277" s="1290">
        <f ca="1">IF(Basisgegevens!C233&gt;0.01,Basisgegevens!C233,E274*E272)</f>
        <v>-1032.5</v>
      </c>
      <c r="F277" s="925">
        <f ca="1">F274*F272</f>
        <v>-885</v>
      </c>
      <c r="G277" s="1290">
        <f ca="1">IF(Basisgegevens!D233&gt;0.01,Basisgegevens!D233,G274*G272)</f>
        <v>-1032.5</v>
      </c>
      <c r="H277" s="1817" t="str">
        <f>"Als het NBI onder de draagkracht komt a € "&amp;Basisgegevens!$E253&amp;" (Werkend) of  € "&amp;Basisgegevens!$E263&amp;" (AOW) dan geldt het bedrag uit de draagkrachttabel"</f>
        <v>Als het NBI onder de draagkracht komt a € 1930 (Werkend) of  € 2090 (AOW) dan geldt het bedrag uit de draagkrachttabel</v>
      </c>
      <c r="I277" s="70">
        <v>277</v>
      </c>
    </row>
    <row r="278" spans="1:9" outlineLevel="1" x14ac:dyDescent="0.25">
      <c r="A278" s="1485" t="s">
        <v>519</v>
      </c>
      <c r="B278" s="106" t="s">
        <v>1134</v>
      </c>
      <c r="C278" s="200" t="s">
        <v>72</v>
      </c>
      <c r="D278" s="313">
        <v>0</v>
      </c>
      <c r="E278" s="1321">
        <f>D278</f>
        <v>0</v>
      </c>
      <c r="F278" s="313">
        <v>0</v>
      </c>
      <c r="G278" s="1321">
        <f>F278</f>
        <v>0</v>
      </c>
      <c r="H278" s="1806"/>
      <c r="I278" s="69">
        <v>278</v>
      </c>
    </row>
    <row r="279" spans="1:9" ht="30" outlineLevel="1" x14ac:dyDescent="0.25">
      <c r="A279" s="1485">
        <v>138</v>
      </c>
      <c r="B279" s="87" t="s">
        <v>53</v>
      </c>
      <c r="C279" s="200" t="s">
        <v>72</v>
      </c>
      <c r="D279" s="313">
        <v>0</v>
      </c>
      <c r="E279" s="2654" t="s">
        <v>269</v>
      </c>
      <c r="F279" s="313">
        <v>0</v>
      </c>
      <c r="G279" s="2654" t="s">
        <v>269</v>
      </c>
      <c r="H279" s="1806" t="s">
        <v>247</v>
      </c>
      <c r="I279" s="69">
        <v>279</v>
      </c>
    </row>
    <row r="280" spans="1:9" outlineLevel="1" x14ac:dyDescent="0.25">
      <c r="A280" s="1488">
        <v>138</v>
      </c>
      <c r="B280" s="97" t="str">
        <f>CONCATENATE("VEW: Hypotheekrente betaald voor ",Basisgegevens!D$4," (= Kolom E) / ",Basisgegevens!C$4," (= Kolom G)")</f>
        <v>VEW: Hypotheekrente betaald voor AG (= Kolom E) / AP (= Kolom G)</v>
      </c>
      <c r="C280" s="200" t="s">
        <v>72</v>
      </c>
      <c r="D280" s="927">
        <f>Basisgegevens!E200</f>
        <v>0</v>
      </c>
      <c r="E280" s="2654"/>
      <c r="F280" s="927">
        <f>Basisgegevens!F201</f>
        <v>0</v>
      </c>
      <c r="G280" s="2654"/>
      <c r="H280" s="1807"/>
      <c r="I280" s="174">
        <v>280</v>
      </c>
    </row>
    <row r="281" spans="1:9" outlineLevel="1" x14ac:dyDescent="0.25">
      <c r="A281" s="1488">
        <v>138</v>
      </c>
      <c r="B281" s="97" t="str">
        <f>CONCATENATE("VEW: Hypotheekaflossing betaald voor ",Basisgegevens!D$4," (= Kolom E) / ",Basisgegevens!C$4," (= Kolom G)")</f>
        <v>VEW: Hypotheekaflossing betaald voor AG (= Kolom E) / AP (= Kolom G)</v>
      </c>
      <c r="C281" s="200" t="s">
        <v>72</v>
      </c>
      <c r="D281" s="927">
        <f>Basisgegevens!E203</f>
        <v>0</v>
      </c>
      <c r="E281" s="2654"/>
      <c r="F281" s="927">
        <f>Basisgegevens!F204</f>
        <v>0</v>
      </c>
      <c r="G281" s="2654"/>
      <c r="H281" s="1807"/>
      <c r="I281" s="174">
        <v>281</v>
      </c>
    </row>
    <row r="282" spans="1:9" outlineLevel="1" x14ac:dyDescent="0.25">
      <c r="A282" s="1488">
        <f>Basisgegevens!L192</f>
        <v>138</v>
      </c>
      <c r="B282" s="97" t="str">
        <f>"OEW: Hypotheek"&amp;LOWER(Basisgegevens!M192)</f>
        <v>OEW: Hypotheekrente betaald voor ex. partner als partneralimentatie</v>
      </c>
      <c r="C282" s="200" t="s">
        <v>72</v>
      </c>
      <c r="D282" s="927">
        <f>IF(BGOEWRekenModule="Nee",0,BGOEW138RentePA_AP/12)</f>
        <v>0</v>
      </c>
      <c r="E282" s="2654"/>
      <c r="F282" s="927">
        <f>IF(BGOEWRekenModule="Nee",0,BGOEW138RentePA_AG/12)</f>
        <v>0</v>
      </c>
      <c r="G282" s="2654"/>
      <c r="H282" s="1807"/>
      <c r="I282" s="174">
        <v>282</v>
      </c>
    </row>
    <row r="283" spans="1:9" outlineLevel="1" x14ac:dyDescent="0.25">
      <c r="A283" s="1488">
        <v>138</v>
      </c>
      <c r="B283" s="97" t="s">
        <v>1135</v>
      </c>
      <c r="C283" s="200" t="s">
        <v>72</v>
      </c>
      <c r="D283" s="927">
        <f>IF(BGOEWRekenModule="Nee",0,IF(AND(BGOEWRekenModule="Ja",BGOEWAflossing=BGPartnerAP),Basisgegevens!C173/2+Basisgegevens!F186,IF(AND(BGOEWRekenModule="Ja",BGOEWAflossing=Keuzelijsten!$R$4),Basisgegevens!F186,0)))</f>
        <v>0</v>
      </c>
      <c r="E283" s="2654"/>
      <c r="F283" s="927">
        <f>IF(BGOEWRekenModule="Nee",0,IF(AND(BGOEWRekenModule="Ja",BGOEWAflossing=BGPartnerAG),Basisgegevens!C173/2+Basisgegevens!E186,IF(AND(BGOEWRekenModule="Ja",BGOEWAflossing=Keuzelijsten!$R$4),Basisgegevens!E186,0)))</f>
        <v>0</v>
      </c>
      <c r="G283" s="2654"/>
      <c r="H283" s="1807"/>
      <c r="I283" s="174">
        <v>283</v>
      </c>
    </row>
    <row r="284" spans="1:9" ht="30.75" outlineLevel="1" thickBot="1" x14ac:dyDescent="0.3">
      <c r="A284" s="1488">
        <v>139</v>
      </c>
      <c r="B284" s="416" t="s">
        <v>589</v>
      </c>
      <c r="C284" s="208" t="s">
        <v>77</v>
      </c>
      <c r="D284" s="927">
        <f>IF(D279+D282=0,0,IF(AL94VerzInkomen_AP+((D279+D282)*12)-BGBelastingbedragSchijf3&lt;=0,(((D279+D282)*12)*Basisgegevens!$O$16)/12,IF(AL94VerzInkomen_AP+((D279+D282)*12)&lt;BGBelastingbedragSchijf3+((D279+D282)*12),(((BGBelastingbedragSchijf3-AL94VerzInkomen_AP)*Basisgegevens!$O$16)+((AL94VerzInkomen_AP+((D279+D282)*12)-BGBelastingbedragSchijf3)*BGBelastingTariefBeperking))/12,(D279+D282)*BGBelastingTariefBeperking)))</f>
        <v>0</v>
      </c>
      <c r="E284" s="2655"/>
      <c r="F284" s="927">
        <f>IF(F279+F282=0,0,IF(AL94VerzInkomen_AG+((F279+F282)*12)-BGBelastingbedragSchijf3&lt;=0,(((F279+F282)*12)*Basisgegevens!$O$16)/12,IF(AL94VerzInkomen_AG+((F279+F282)*12)&lt;BGBelastingbedragSchijf3+((F279+F282)*12),(((BGBelastingbedragSchijf3-AL94VerzInkomen_AG)*Basisgegevens!$O$16)+((AL94VerzInkomen_AG+((F279+F282)*12)-BGBelastingbedragSchijf3)*BGBelastingTariefBeperking))/12, (F279+F282)*BGBelastingTariefBeperking)))</f>
        <v>0</v>
      </c>
      <c r="G284" s="2656"/>
      <c r="H284" s="1807" t="s">
        <v>410</v>
      </c>
      <c r="I284" s="174">
        <v>284</v>
      </c>
    </row>
    <row r="285" spans="1:9" ht="45.75" thickBot="1" x14ac:dyDescent="0.3">
      <c r="A285" s="1505">
        <v>140</v>
      </c>
      <c r="B285" s="1361" t="s">
        <v>859</v>
      </c>
      <c r="C285" s="1858"/>
      <c r="D285" s="1346">
        <f ca="1">IF(D277-SUM(D278:D283)+D284&lt;=0.01,0,D277-SUM(D278:D283)+D284)</f>
        <v>0</v>
      </c>
      <c r="E285" s="1872">
        <f ca="1">IF(E277&lt;=0.01,IF(Basisgegevens!$D$211&gt;0,0,Basisgegevens!$D$233),E277-E278)</f>
        <v>0</v>
      </c>
      <c r="F285" s="1346">
        <f ca="1">IF(F277-SUM(F278:F283)+F284&lt;=0.01,0,F277-SUM(F278:F283)+F284)</f>
        <v>0</v>
      </c>
      <c r="G285" s="1872">
        <f ca="1">IF(G277&lt;=0.01,IF(Basisgegevens!$D$211&gt;0,0,Basisgegevens!$D$233),G277-G278)</f>
        <v>0</v>
      </c>
      <c r="H285" s="1873" t="s">
        <v>901</v>
      </c>
      <c r="I285" s="2415">
        <v>285</v>
      </c>
    </row>
    <row r="286" spans="1:9" ht="15.75" thickBot="1" x14ac:dyDescent="0.3">
      <c r="A286" s="1890"/>
      <c r="B286" s="115"/>
      <c r="C286" s="1891"/>
      <c r="D286" s="470" t="str">
        <f ca="1">IF(D285&lt;=0,"Geen PA beschikbaar","")</f>
        <v>Geen PA beschikbaar</v>
      </c>
      <c r="E286" s="470" t="str">
        <f ca="1">IF(E285&lt;=0,"Geen kA beschikbaar","")</f>
        <v>Geen kA beschikbaar</v>
      </c>
      <c r="F286" s="470" t="str">
        <f ca="1">IF(F285&lt;=0,"Geen PA beschikbaar","")</f>
        <v>Geen PA beschikbaar</v>
      </c>
      <c r="G286" s="470" t="str">
        <f ca="1">IF(G285&lt;=0,"Geen kA beschikbaar","")</f>
        <v>Geen kA beschikbaar</v>
      </c>
      <c r="H286" s="1828"/>
      <c r="I286" s="169">
        <v>286</v>
      </c>
    </row>
    <row r="287" spans="1:9" ht="21.75" thickBot="1" x14ac:dyDescent="0.3">
      <c r="A287" s="2029"/>
      <c r="B287" s="1957" t="s">
        <v>3</v>
      </c>
      <c r="C287" s="2030"/>
      <c r="D287" s="2031"/>
      <c r="E287" s="2032"/>
      <c r="F287" s="2031"/>
      <c r="G287" s="2033"/>
      <c r="H287" s="2034"/>
      <c r="I287" s="2435">
        <v>287</v>
      </c>
    </row>
    <row r="288" spans="1:9" outlineLevel="1" x14ac:dyDescent="0.25">
      <c r="A288" s="1510">
        <v>141</v>
      </c>
      <c r="B288" s="1603" t="s">
        <v>4</v>
      </c>
      <c r="C288" s="202" t="s">
        <v>72</v>
      </c>
      <c r="D288" s="1222">
        <f>IF(Kinderalimentatie!O41&lt;0,0,Kinderalimentatie!O41)</f>
        <v>0</v>
      </c>
      <c r="E288" s="1604"/>
      <c r="F288" s="1222">
        <f>IF(Kinderalimentatie!S41&lt;0,0,Kinderalimentatie!S41)</f>
        <v>0</v>
      </c>
      <c r="G288" s="1605"/>
      <c r="H288" s="1838" t="s">
        <v>321</v>
      </c>
      <c r="I288" s="1846">
        <v>288</v>
      </c>
    </row>
    <row r="289" spans="1:9" outlineLevel="1" x14ac:dyDescent="0.25">
      <c r="A289" s="1508" t="s">
        <v>521</v>
      </c>
      <c r="B289" s="93" t="s">
        <v>89</v>
      </c>
      <c r="C289" s="214"/>
      <c r="D289" s="918">
        <f>IF(Kinderalimentatie!O41&lt;0,Kinderalimentatie!O41+Kinderalimentatie!N41,Kinderalimentatie!N41)</f>
        <v>0</v>
      </c>
      <c r="E289" s="1322"/>
      <c r="F289" s="918">
        <f>IF(Kinderalimentatie!S41&lt;0,Kinderalimentatie!S41+Kinderalimentatie!R41,Kinderalimentatie!R41)</f>
        <v>0</v>
      </c>
      <c r="G289" s="1336"/>
      <c r="H289" s="1806"/>
      <c r="I289" s="1847">
        <v>289</v>
      </c>
    </row>
    <row r="290" spans="1:9" ht="15.75" outlineLevel="1" thickBot="1" x14ac:dyDescent="0.3">
      <c r="A290" s="1511" t="s">
        <v>520</v>
      </c>
      <c r="B290" s="416" t="s">
        <v>90</v>
      </c>
      <c r="C290" s="208"/>
      <c r="D290" s="1330">
        <f>IF(Kinderalimentatie!O41&lt;0,0,Kinderalimentatie!P41)</f>
        <v>0</v>
      </c>
      <c r="E290" s="1323"/>
      <c r="F290" s="1330">
        <f>IF(Kinderalimentatie!S41&lt;0,0,Kinderalimentatie!T41)</f>
        <v>0</v>
      </c>
      <c r="G290" s="1337"/>
      <c r="H290" s="1807"/>
      <c r="I290" s="1848">
        <v>290</v>
      </c>
    </row>
    <row r="291" spans="1:9" ht="16.5" thickBot="1" x14ac:dyDescent="0.3">
      <c r="A291" s="1509">
        <v>141</v>
      </c>
      <c r="B291" s="188" t="s">
        <v>593</v>
      </c>
      <c r="C291" s="207"/>
      <c r="D291" s="912">
        <f>SUM(D288:D290)</f>
        <v>0</v>
      </c>
      <c r="E291" s="964"/>
      <c r="F291" s="912">
        <f>SUM(F288:F290)</f>
        <v>0</v>
      </c>
      <c r="G291" s="1228"/>
      <c r="H291" s="1839"/>
      <c r="I291" s="1849">
        <v>291</v>
      </c>
    </row>
    <row r="292" spans="1:9" ht="15.75" outlineLevel="1" thickBot="1" x14ac:dyDescent="0.3">
      <c r="A292" s="1488" t="s">
        <v>522</v>
      </c>
      <c r="B292" s="2035" t="s">
        <v>1134</v>
      </c>
      <c r="C292" s="208"/>
      <c r="D292" s="960">
        <v>0</v>
      </c>
      <c r="E292" s="948" t="s">
        <v>269</v>
      </c>
      <c r="F292" s="960">
        <v>0</v>
      </c>
      <c r="G292" s="948" t="s">
        <v>269</v>
      </c>
      <c r="H292" s="1807"/>
      <c r="I292" s="174">
        <v>292</v>
      </c>
    </row>
    <row r="293" spans="1:9" ht="15.75" outlineLevel="1" thickBot="1" x14ac:dyDescent="0.3">
      <c r="A293" s="1936"/>
      <c r="B293" s="1928"/>
      <c r="C293" s="1750"/>
      <c r="D293" s="1930"/>
      <c r="E293" s="1930"/>
      <c r="F293" s="1930"/>
      <c r="G293" s="1930"/>
      <c r="H293" s="1828"/>
      <c r="I293" s="2054">
        <v>293</v>
      </c>
    </row>
    <row r="294" spans="1:9" ht="15.75" outlineLevel="1" thickBot="1" x14ac:dyDescent="0.3">
      <c r="A294" s="2036">
        <v>142</v>
      </c>
      <c r="B294" s="2037" t="s">
        <v>54</v>
      </c>
      <c r="C294" s="2038"/>
      <c r="D294" s="2039">
        <v>0</v>
      </c>
      <c r="E294" s="2040">
        <v>0</v>
      </c>
      <c r="F294" s="2039">
        <v>0</v>
      </c>
      <c r="G294" s="2041">
        <v>0</v>
      </c>
      <c r="H294" s="2042" t="s">
        <v>230</v>
      </c>
      <c r="I294" s="2442">
        <v>294</v>
      </c>
    </row>
    <row r="295" spans="1:9" ht="16.5" thickBot="1" x14ac:dyDescent="0.3">
      <c r="A295" s="1505">
        <v>143</v>
      </c>
      <c r="B295" s="1361" t="s">
        <v>1136</v>
      </c>
      <c r="C295" s="1858"/>
      <c r="D295" s="1346">
        <f ca="1">D285-D291-D292</f>
        <v>0</v>
      </c>
      <c r="E295" s="2001"/>
      <c r="F295" s="1346">
        <f ca="1">F285-F291-F292</f>
        <v>0</v>
      </c>
      <c r="G295" s="1338"/>
      <c r="H295" s="2043" t="s">
        <v>248</v>
      </c>
      <c r="I295" s="2415">
        <v>295</v>
      </c>
    </row>
    <row r="296" spans="1:9" ht="16.5" thickBot="1" x14ac:dyDescent="0.3">
      <c r="A296" s="1896"/>
      <c r="B296" s="2045"/>
      <c r="C296" s="1897"/>
      <c r="D296" s="470" t="str">
        <f ca="1">IF(D295&lt;=0,"Geen PA beschikbaar","--")</f>
        <v>Geen PA beschikbaar</v>
      </c>
      <c r="E296" s="1224"/>
      <c r="F296" s="470" t="str">
        <f ca="1">IF(F295&lt;=0,"Geen PA beschikbaar","--")</f>
        <v>Geen PA beschikbaar</v>
      </c>
      <c r="G296" s="1224"/>
      <c r="H296" s="1904"/>
      <c r="I296" s="1253">
        <v>296</v>
      </c>
    </row>
    <row r="297" spans="1:9" ht="16.5" thickBot="1" x14ac:dyDescent="0.3">
      <c r="A297" s="1899"/>
      <c r="B297" s="2046"/>
      <c r="C297" s="1901"/>
      <c r="D297" s="1902"/>
      <c r="E297" s="1902"/>
      <c r="F297" s="1902"/>
      <c r="G297" s="1902"/>
      <c r="H297" s="1804"/>
      <c r="I297" s="359">
        <v>297</v>
      </c>
    </row>
    <row r="298" spans="1:9" ht="19.5" thickBot="1" x14ac:dyDescent="0.3">
      <c r="A298" s="2077"/>
      <c r="B298" s="2078" t="s">
        <v>381</v>
      </c>
      <c r="C298" s="1923"/>
      <c r="D298" s="1991"/>
      <c r="E298" s="1941"/>
      <c r="F298" s="1347"/>
      <c r="G298" s="1339"/>
      <c r="H298" s="2044"/>
      <c r="I298" s="2443">
        <v>298</v>
      </c>
    </row>
    <row r="299" spans="1:9" ht="15.75" x14ac:dyDescent="0.25">
      <c r="A299" s="1483"/>
      <c r="B299" s="417" t="str">
        <f>B129</f>
        <v>Belastbaar verzamelinkomen uit werk en woning (a t/m h) (Box I):</v>
      </c>
      <c r="C299" s="212"/>
      <c r="D299" s="311">
        <f>D129</f>
        <v>0</v>
      </c>
      <c r="E299" s="1324"/>
      <c r="F299" s="311">
        <f>F129</f>
        <v>0</v>
      </c>
      <c r="G299" s="1340"/>
      <c r="H299" s="1799"/>
      <c r="I299" s="28">
        <v>299</v>
      </c>
    </row>
    <row r="300" spans="1:9" ht="16.5" thickBot="1" x14ac:dyDescent="0.3">
      <c r="A300" s="1488"/>
      <c r="B300" s="419" t="str">
        <f>B134</f>
        <v>Inkomensheffing Box 1:</v>
      </c>
      <c r="C300" s="159"/>
      <c r="D300" s="927">
        <f>D134</f>
        <v>0</v>
      </c>
      <c r="E300" s="1325"/>
      <c r="F300" s="927">
        <f>F130</f>
        <v>0</v>
      </c>
      <c r="G300" s="1341"/>
      <c r="H300" s="1800"/>
      <c r="I300" s="174">
        <v>300</v>
      </c>
    </row>
    <row r="301" spans="1:9" ht="16.5" thickBot="1" x14ac:dyDescent="0.3">
      <c r="A301" s="1487"/>
      <c r="B301" s="186" t="s">
        <v>379</v>
      </c>
      <c r="C301" s="195"/>
      <c r="D301" s="924">
        <f>D299-D300</f>
        <v>0</v>
      </c>
      <c r="E301" s="497"/>
      <c r="F301" s="1346">
        <f>F299-F300</f>
        <v>0</v>
      </c>
      <c r="G301" s="1342"/>
      <c r="H301" s="1839"/>
      <c r="I301" s="601">
        <v>301</v>
      </c>
    </row>
    <row r="302" spans="1:9" ht="32.25" thickBot="1" x14ac:dyDescent="0.3">
      <c r="A302" s="1489"/>
      <c r="B302" s="708" t="str">
        <f ca="1">CONCATENATE("Is het belastbaar inkomen minus de inkomensheffing (a € ",ROUND(D301,0),") lager is dan de in 143 (a € ",ROUND((D295),0),") berekende alimentatie?")</f>
        <v>Is het belastbaar inkomen minus de inkomensheffing (a € 0) lager is dan de in 143 (a € 0) berekende alimentatie?</v>
      </c>
      <c r="C302" s="204"/>
      <c r="D302" s="1331" t="str">
        <f ca="1">IF(D295&lt;=0,"n.v.t",IF(D301&gt;D295,"Loopt via 144","Loopt via 145/146"))</f>
        <v>n.v.t</v>
      </c>
      <c r="E302" s="1326"/>
      <c r="F302" s="1331" t="str">
        <f ca="1">IF(F295&lt;=0,"n.v.t",IF(F301&gt;F295,"Loopt via 144","Loopt via 145/146"))</f>
        <v>n.v.t</v>
      </c>
      <c r="G302" s="1343"/>
      <c r="H302" s="1841"/>
      <c r="I302" s="169">
        <v>302</v>
      </c>
    </row>
    <row r="303" spans="1:9" ht="15.75" x14ac:dyDescent="0.25">
      <c r="A303" s="1484">
        <v>144</v>
      </c>
      <c r="B303" s="706" t="s">
        <v>467</v>
      </c>
      <c r="C303" s="707" t="s">
        <v>73</v>
      </c>
      <c r="D303" s="1332">
        <f ca="1">IF(OR(LEFT(D302,2)="Ja",D302="n.v.t"),0,Basisgegevens!F370/12)</f>
        <v>0</v>
      </c>
      <c r="E303" s="1320"/>
      <c r="F303" s="1332">
        <f ca="1">IF(OR(LEFT(F302,2)="Ja",F302="n.v.t"),0,Basisgegevens!F393/12)</f>
        <v>0</v>
      </c>
      <c r="G303" s="1340"/>
      <c r="H303" s="1842"/>
      <c r="I303" s="70">
        <v>303</v>
      </c>
    </row>
    <row r="304" spans="1:9" ht="15.75" x14ac:dyDescent="0.25">
      <c r="A304" s="1485"/>
      <c r="B304" s="705" t="s">
        <v>468</v>
      </c>
      <c r="C304" s="703" t="s">
        <v>73</v>
      </c>
      <c r="D304" s="1333">
        <f ca="1">IF(OR(LEFT(D302,2)="Ja",D302="n.v.t"),0,Basisgegevens!F370)</f>
        <v>0</v>
      </c>
      <c r="E304" s="1327"/>
      <c r="F304" s="1333">
        <f ca="1">IF(OR(LEFT(F302,2)="Ja",F302="n.v.t"),0,Basisgegevens!F393)</f>
        <v>0</v>
      </c>
      <c r="G304" s="1344"/>
      <c r="H304" s="1843"/>
      <c r="I304" s="69">
        <v>304</v>
      </c>
    </row>
    <row r="305" spans="1:9" ht="15.75" thickBot="1" x14ac:dyDescent="0.3">
      <c r="A305" s="1486"/>
      <c r="B305" s="704" t="s">
        <v>376</v>
      </c>
      <c r="C305" s="418"/>
      <c r="D305" s="1334" t="str">
        <f ca="1">IF(OR(LEFT(D302,2)="Ja",D302="n.v.t"),"Zelf te berekenen","n.v.t")</f>
        <v>Zelf te berekenen</v>
      </c>
      <c r="E305" s="1328"/>
      <c r="F305" s="1334" t="str">
        <f ca="1">IF(OR(LEFT(F302,2)="Ja",F302="n.v.t"),"Zelf te berekenen","n.v.t")</f>
        <v>Zelf te berekenen</v>
      </c>
      <c r="G305" s="1345"/>
      <c r="H305" s="1844"/>
      <c r="I305" s="30">
        <v>305</v>
      </c>
    </row>
    <row r="649" spans="1:9" x14ac:dyDescent="0.25">
      <c r="A649" s="84">
        <v>145</v>
      </c>
      <c r="B649" s="305" t="s">
        <v>376</v>
      </c>
      <c r="C649" s="83"/>
      <c r="D649" s="116"/>
      <c r="E649" s="377"/>
      <c r="F649" s="380"/>
      <c r="G649" s="381"/>
      <c r="H649" s="387"/>
      <c r="I649" s="29">
        <v>257</v>
      </c>
    </row>
    <row r="650" spans="1:9" x14ac:dyDescent="0.25">
      <c r="A650" s="84"/>
      <c r="B650" s="299" t="s">
        <v>377</v>
      </c>
      <c r="C650" s="295" t="s">
        <v>77</v>
      </c>
      <c r="D650" s="101">
        <f ca="1">IF(D295&lt;=0,0,D295)</f>
        <v>0</v>
      </c>
      <c r="E650" s="377"/>
      <c r="F650" s="380"/>
      <c r="G650" s="381"/>
      <c r="H650" s="387"/>
      <c r="I650" s="29">
        <v>258</v>
      </c>
    </row>
    <row r="651" spans="1:9" ht="16.5" thickBot="1" x14ac:dyDescent="0.3">
      <c r="A651" s="158"/>
      <c r="B651" s="419" t="str">
        <f>B134</f>
        <v>Inkomensheffing Box 1:</v>
      </c>
      <c r="C651" s="420" t="s">
        <v>77</v>
      </c>
      <c r="D651" s="327">
        <f>D300</f>
        <v>0</v>
      </c>
      <c r="E651" s="421"/>
      <c r="F651" s="401"/>
      <c r="G651" s="422"/>
      <c r="H651" s="402"/>
      <c r="I651" s="172">
        <v>259</v>
      </c>
    </row>
    <row r="652" spans="1:9" ht="16.5" thickBot="1" x14ac:dyDescent="0.3">
      <c r="A652" s="184"/>
      <c r="B652" s="186" t="s">
        <v>378</v>
      </c>
      <c r="C652" s="424" t="s">
        <v>77</v>
      </c>
      <c r="D652" s="425"/>
      <c r="E652" s="407">
        <f ca="1">SUM(D650:D651)</f>
        <v>0</v>
      </c>
      <c r="F652" s="394"/>
      <c r="G652" s="408"/>
      <c r="H652" s="412"/>
      <c r="I652" s="2401">
        <v>260</v>
      </c>
    </row>
    <row r="653" spans="1:9" x14ac:dyDescent="0.25">
      <c r="A653" s="95"/>
      <c r="B653" s="423"/>
      <c r="C653" s="307"/>
      <c r="D653" s="308"/>
      <c r="E653" s="404"/>
      <c r="F653" s="396"/>
      <c r="G653" s="405"/>
      <c r="H653" s="395"/>
      <c r="I653" s="72">
        <v>261</v>
      </c>
    </row>
    <row r="654" spans="1:9" x14ac:dyDescent="0.25">
      <c r="A654" s="84"/>
      <c r="B654" s="92"/>
      <c r="C654" s="83"/>
      <c r="D654" s="116"/>
      <c r="E654" s="377"/>
      <c r="F654" s="380"/>
      <c r="G654" s="381"/>
      <c r="H654" s="387"/>
      <c r="I654" s="29">
        <v>262</v>
      </c>
    </row>
    <row r="655" spans="1:9" x14ac:dyDescent="0.25">
      <c r="A655" s="84"/>
      <c r="B655" s="304" t="str">
        <f>B650</f>
        <v>Netto alimentatie per jaar:</v>
      </c>
      <c r="C655" s="300" t="s">
        <v>77</v>
      </c>
      <c r="D655" s="116"/>
      <c r="E655" s="385">
        <f ca="1">D650</f>
        <v>0</v>
      </c>
      <c r="F655" s="380"/>
      <c r="G655" s="381"/>
      <c r="H655" s="387"/>
      <c r="I655" s="29">
        <v>263</v>
      </c>
    </row>
    <row r="656" spans="1:9" x14ac:dyDescent="0.25">
      <c r="A656" s="84"/>
      <c r="B656" s="304" t="str">
        <f>B299</f>
        <v>Belastbaar verzamelinkomen uit werk en woning (a t/m h) (Box I):</v>
      </c>
      <c r="C656" s="83"/>
      <c r="D656" s="101">
        <f>D299</f>
        <v>0</v>
      </c>
      <c r="E656" s="377"/>
      <c r="F656" s="380"/>
      <c r="G656" s="381"/>
      <c r="H656" s="387"/>
      <c r="I656" s="29">
        <v>264</v>
      </c>
    </row>
    <row r="657" spans="1:9" x14ac:dyDescent="0.25">
      <c r="A657" s="84"/>
      <c r="B657" s="304" t="str">
        <f>B300</f>
        <v>Inkomensheffing Box 1:</v>
      </c>
      <c r="C657" s="295" t="s">
        <v>72</v>
      </c>
      <c r="D657" s="101">
        <f>D300</f>
        <v>0</v>
      </c>
      <c r="E657" s="377"/>
      <c r="F657" s="380"/>
      <c r="G657" s="381"/>
      <c r="H657" s="387"/>
      <c r="I657" s="29">
        <v>265</v>
      </c>
    </row>
    <row r="658" spans="1:9" ht="15.75" x14ac:dyDescent="0.25">
      <c r="A658" s="372"/>
      <c r="B658" s="303" t="str">
        <f>B301</f>
        <v xml:space="preserve">Na aftrek inkomensheffing BOX I: </v>
      </c>
      <c r="C658" s="301"/>
      <c r="D658" s="302"/>
      <c r="E658" s="383">
        <f>D301</f>
        <v>0</v>
      </c>
      <c r="F658" s="379"/>
      <c r="G658" s="382"/>
      <c r="H658" s="389"/>
      <c r="I658" s="2402">
        <v>266</v>
      </c>
    </row>
    <row r="659" spans="1:9" x14ac:dyDescent="0.25">
      <c r="A659" s="84"/>
      <c r="B659" s="299"/>
      <c r="C659" s="83"/>
      <c r="D659" s="328" t="s">
        <v>380</v>
      </c>
      <c r="E659" s="384">
        <f ca="1">E655-E658</f>
        <v>0</v>
      </c>
      <c r="F659" s="380"/>
      <c r="G659" s="381"/>
      <c r="H659" s="387"/>
      <c r="I659" s="29">
        <v>267</v>
      </c>
    </row>
    <row r="660" spans="1:9" x14ac:dyDescent="0.25">
      <c r="A660" s="84"/>
      <c r="B660" s="2640" t="str">
        <f>CONCATENATE("Verschil delen door ",(1-Basisgegevens!$C$218)," (= tarief BOX III)")</f>
        <v>Verschil delen door 0,68 (= tarief BOX III)</v>
      </c>
      <c r="C660" s="2641"/>
      <c r="D660" s="2641"/>
      <c r="E660" s="384">
        <f ca="1">E659/(1-Basisgegevens!$C$218)</f>
        <v>0</v>
      </c>
      <c r="F660" s="380"/>
      <c r="G660" s="381"/>
      <c r="H660" s="387"/>
      <c r="I660" s="29">
        <v>268</v>
      </c>
    </row>
    <row r="661" spans="1:9" x14ac:dyDescent="0.25">
      <c r="A661" s="372"/>
      <c r="B661" s="2642" t="str">
        <f ca="1">CONCATENATE("Als het VERSCHIL  a € ",ROUND(E660,0)," LAGER is dan het belastbaar inkomen box III a € ",ROUND(D175,0)," dan ",(Basisgegevens!C218*100),"% van dit bedrag:")</f>
        <v>Als het VERSCHIL  a € 0 LAGER is dan het belastbaar inkomen box III a € 0 dan 32% van dit bedrag:</v>
      </c>
      <c r="C661" s="2643"/>
      <c r="D661" s="2643"/>
      <c r="E661" s="383" t="str">
        <f ca="1">IF(E660&lt;D175,E660*Basisgegevens!$C$218,"zie 146")</f>
        <v>zie 146</v>
      </c>
      <c r="F661" s="380"/>
      <c r="G661" s="381"/>
      <c r="H661" s="387"/>
      <c r="I661" s="2402">
        <v>269</v>
      </c>
    </row>
    <row r="662" spans="1:9" x14ac:dyDescent="0.25">
      <c r="A662" s="84"/>
      <c r="B662" s="87"/>
      <c r="C662" s="83"/>
      <c r="D662" s="116"/>
      <c r="E662" s="377"/>
      <c r="F662" s="380"/>
      <c r="G662" s="381"/>
      <c r="H662" s="387"/>
      <c r="I662" s="29">
        <v>270</v>
      </c>
    </row>
    <row r="663" spans="1:9" ht="17.25" x14ac:dyDescent="0.25">
      <c r="A663" s="84"/>
      <c r="B663" s="2644" t="str">
        <f>CONCATENATE("Als het VERSCHIL hierboven HOGER is dan het belastbaar inkomen box III a € ",ROUND(D175,0)," dan ",(Basisgegevens!C218*100),"% van dit bedrag:")</f>
        <v>Als het VERSCHIL hierboven HOGER is dan het belastbaar inkomen box III a € 0 dan 32% van dit bedrag:</v>
      </c>
      <c r="C663" s="2645"/>
      <c r="D663" s="2645"/>
      <c r="E663" s="377"/>
      <c r="F663" s="380"/>
      <c r="G663" s="381"/>
      <c r="H663" s="387"/>
      <c r="I663" s="29">
        <v>271</v>
      </c>
    </row>
    <row r="664" spans="1:9" x14ac:dyDescent="0.25">
      <c r="A664" s="84">
        <v>146</v>
      </c>
      <c r="B664" s="304" t="str">
        <f>B176</f>
        <v>Inkomstebelasting (vast tarief 32%) box III:</v>
      </c>
      <c r="C664" s="295" t="s">
        <v>72</v>
      </c>
      <c r="D664" s="116"/>
      <c r="E664" s="384">
        <f>D176</f>
        <v>0</v>
      </c>
      <c r="F664" s="380"/>
      <c r="G664" s="381"/>
      <c r="H664" s="387"/>
      <c r="I664" s="29">
        <v>272</v>
      </c>
    </row>
    <row r="665" spans="1:9" x14ac:dyDescent="0.25">
      <c r="A665" s="84"/>
      <c r="B665" s="299" t="s">
        <v>382</v>
      </c>
      <c r="C665" s="83"/>
      <c r="D665" s="101">
        <f ca="1">E659</f>
        <v>0</v>
      </c>
      <c r="E665" s="377"/>
      <c r="F665" s="380"/>
      <c r="G665" s="381"/>
      <c r="H665" s="387"/>
      <c r="I665" s="29">
        <v>273</v>
      </c>
    </row>
    <row r="666" spans="1:9" x14ac:dyDescent="0.25">
      <c r="A666" s="84"/>
      <c r="B666" s="304" t="str">
        <f>B175</f>
        <v>Belastbaar inkomen uit sparen en beleggen (Box III):</v>
      </c>
      <c r="C666" s="83"/>
      <c r="D666" s="101">
        <f>D175</f>
        <v>0</v>
      </c>
      <c r="E666" s="377"/>
      <c r="F666" s="380"/>
      <c r="G666" s="381"/>
      <c r="H666" s="387"/>
      <c r="I666" s="29">
        <v>274</v>
      </c>
    </row>
    <row r="667" spans="1:9" x14ac:dyDescent="0.25">
      <c r="A667" s="84"/>
      <c r="B667" s="306" t="str">
        <f>B176</f>
        <v>Inkomstebelasting (vast tarief 32%) box III:</v>
      </c>
      <c r="C667" s="83"/>
      <c r="D667" s="101">
        <f>D176</f>
        <v>0</v>
      </c>
      <c r="E667" s="377"/>
      <c r="F667" s="380"/>
      <c r="G667" s="381"/>
      <c r="H667" s="387"/>
      <c r="I667" s="29">
        <v>275</v>
      </c>
    </row>
    <row r="668" spans="1:9" ht="15.75" x14ac:dyDescent="0.25">
      <c r="A668" s="372"/>
      <c r="B668" s="303" t="s">
        <v>383</v>
      </c>
      <c r="C668" s="301"/>
      <c r="D668" s="302"/>
      <c r="E668" s="383">
        <f>D666-D667</f>
        <v>0</v>
      </c>
      <c r="F668" s="380"/>
      <c r="G668" s="381"/>
      <c r="H668" s="387"/>
      <c r="I668" s="2402">
        <v>276</v>
      </c>
    </row>
    <row r="669" spans="1:9" x14ac:dyDescent="0.25">
      <c r="A669" s="84"/>
      <c r="B669" s="87"/>
      <c r="C669" s="83"/>
      <c r="D669" s="116"/>
      <c r="E669" s="377"/>
      <c r="F669" s="380"/>
      <c r="G669" s="381"/>
      <c r="H669" s="387"/>
      <c r="I669" s="29">
        <v>277</v>
      </c>
    </row>
    <row r="670" spans="1:9" x14ac:dyDescent="0.25">
      <c r="A670" s="84"/>
      <c r="B670" s="299"/>
      <c r="C670" s="83"/>
      <c r="D670" s="116"/>
      <c r="E670" s="377"/>
      <c r="F670" s="380"/>
      <c r="G670" s="381"/>
      <c r="H670" s="387"/>
      <c r="I670" s="29">
        <v>278</v>
      </c>
    </row>
    <row r="671" spans="1:9" ht="15.75" thickBot="1" x14ac:dyDescent="0.3">
      <c r="A671" s="85"/>
      <c r="B671" s="373"/>
      <c r="C671" s="374"/>
      <c r="D671" s="375"/>
      <c r="E671" s="386"/>
      <c r="F671" s="391"/>
      <c r="G671" s="392"/>
      <c r="H671" s="390"/>
      <c r="I671" s="31">
        <v>279</v>
      </c>
    </row>
  </sheetData>
  <sheetProtection algorithmName="SHA-512" hashValue="t0g2IxJfp1goZwKDyuKey5+TJG9KhBnSy2SX23A5sY2ja2WBPfeAzETKq1kn6688xHdEBeR8YRKomMTlVAUbqw==" saltValue="V0kiB+k6bEpkWA+MFmR+LQ==" spinCount="100000" sheet="1" autoFilter="0"/>
  <protectedRanges>
    <protectedRange sqref="E31 G31" name="AP AG 051a NettoPensioen"/>
    <protectedRange sqref="D18 F18" name="AP AG 049 Overig Inkomen"/>
    <protectedRange sqref="D292 F292" name="AP AG 141c Onderhoud"/>
    <protectedRange sqref="D278:D279 F278:F279" name="AP AG 137 138 Onderhoud"/>
    <protectedRange sqref="F266 D266" name="AP AG 128 134 Kosten en schulden"/>
    <protectedRange sqref="D223 F223" name="AP AG 119a Heffingskorting"/>
    <protectedRange sqref="D216 F216 D219 F219" name="AP AG 118 119a Bonnen Netto inkomsten"/>
    <protectedRange sqref="D189 F189" name="AP AG 115 Andere kortingen"/>
    <protectedRange sqref="D174 F174" name="AP AG 110 Pers Geb aftrek"/>
    <protectedRange sqref="D170 F170" name="AP AG 107 Toeslagen"/>
    <protectedRange sqref="D158:D159 F158:F159 D163 F163" name="AP AG 104 Rendement"/>
    <protectedRange sqref="F151:F154 D151:D154" name="AP AG 102 Inkomsten"/>
    <protectedRange sqref="D142 D145 F142 F145" name="AP AG 096 099 Voordelen Pers gebonden aftrek"/>
    <protectedRange sqref="D113 F113" name="AP AG 091 Uitgaven"/>
    <protectedRange sqref="D105:D106 F105:F106" name="AP AG 086 087 Premies"/>
    <protectedRange sqref="D83 F83" name="AP AG 079 Uitkeringen"/>
    <protectedRange sqref="D78:D79 F78:F79" name="AP AG 076 077 Overig Werk"/>
    <protectedRange sqref="D73 F73" name="AP AG 074 Stakingsaftrek"/>
    <protectedRange sqref="D59:D60 D62:D63 D65 F59:F60 F62:F63 F65" name="AP AG 065 070 Winst uit onderneming"/>
    <protectedRange sqref="D54 F54" name="AP AG 062 Reisaftrek"/>
    <protectedRange sqref="D13 F13" name="AP AG 041 DGA"/>
    <protectedRange sqref="D256:G256 D261:E261" name="AP AG 123 Werk.Woonlast"/>
  </protectedRanges>
  <autoFilter ref="A2:H330" xr:uid="{00000000-0009-0000-0000-000001000000}"/>
  <mergeCells count="31">
    <mergeCell ref="B660:D660"/>
    <mergeCell ref="B661:D661"/>
    <mergeCell ref="B663:D663"/>
    <mergeCell ref="E59:E65"/>
    <mergeCell ref="G59:G65"/>
    <mergeCell ref="E78:E79"/>
    <mergeCell ref="G78:G79"/>
    <mergeCell ref="E69:E74"/>
    <mergeCell ref="G69:G74"/>
    <mergeCell ref="G105:G107"/>
    <mergeCell ref="E105:E107"/>
    <mergeCell ref="G94:G101"/>
    <mergeCell ref="E94:E101"/>
    <mergeCell ref="E279:E284"/>
    <mergeCell ref="G279:G284"/>
    <mergeCell ref="E6:E13"/>
    <mergeCell ref="G6:G13"/>
    <mergeCell ref="E15:E20"/>
    <mergeCell ref="G15:G20"/>
    <mergeCell ref="H47:H49"/>
    <mergeCell ref="E24:E26"/>
    <mergeCell ref="G24:G26"/>
    <mergeCell ref="E37:E38"/>
    <mergeCell ref="G37:G38"/>
    <mergeCell ref="E32:E33"/>
    <mergeCell ref="G32:G33"/>
    <mergeCell ref="H259:H261"/>
    <mergeCell ref="F259:F261"/>
    <mergeCell ref="G259:G261"/>
    <mergeCell ref="E53:E55"/>
    <mergeCell ref="G53:G55"/>
  </mergeCells>
  <conditionalFormatting sqref="C3 C150:C264">
    <cfRule type="cellIs" dxfId="140" priority="9" operator="equal">
      <formula>"-"</formula>
    </cfRule>
    <cfRule type="cellIs" dxfId="139" priority="10" operator="equal">
      <formula>"+"</formula>
    </cfRule>
  </conditionalFormatting>
  <conditionalFormatting sqref="C6:C118">
    <cfRule type="cellIs" dxfId="138" priority="1" operator="equal">
      <formula>"-"</formula>
    </cfRule>
    <cfRule type="cellIs" dxfId="137" priority="2" operator="equal">
      <formula>"+"</formula>
    </cfRule>
  </conditionalFormatting>
  <conditionalFormatting sqref="C122 C129:C148 C302:C303">
    <cfRule type="cellIs" dxfId="136" priority="54" operator="equal">
      <formula>"-"</formula>
    </cfRule>
    <cfRule type="cellIs" dxfId="135" priority="55" operator="equal">
      <formula>"+"</formula>
    </cfRule>
  </conditionalFormatting>
  <conditionalFormatting sqref="C266:C295">
    <cfRule type="cellIs" dxfId="134" priority="23" operator="equal">
      <formula>"-"</formula>
    </cfRule>
    <cfRule type="cellIs" dxfId="133" priority="24" operator="equal">
      <formula>"+"</formula>
    </cfRule>
  </conditionalFormatting>
  <conditionalFormatting sqref="C657">
    <cfRule type="cellIs" dxfId="132" priority="31" operator="equal">
      <formula>"-"</formula>
    </cfRule>
    <cfRule type="cellIs" dxfId="131" priority="32" operator="equal">
      <formula>"+"</formula>
    </cfRule>
  </conditionalFormatting>
  <conditionalFormatting sqref="C664">
    <cfRule type="cellIs" dxfId="130" priority="29" operator="equal">
      <formula>"-"</formula>
    </cfRule>
    <cfRule type="cellIs" dxfId="129" priority="30" operator="equal">
      <formula>"+"</formula>
    </cfRule>
  </conditionalFormatting>
  <conditionalFormatting sqref="D295 F295">
    <cfRule type="cellIs" dxfId="128" priority="44" operator="lessThanOrEqual">
      <formula>0</formula>
    </cfRule>
  </conditionalFormatting>
  <conditionalFormatting sqref="D296">
    <cfRule type="expression" dxfId="127" priority="27">
      <formula>D$295&lt;=0</formula>
    </cfRule>
  </conditionalFormatting>
  <conditionalFormatting sqref="D191:G191">
    <cfRule type="cellIs" dxfId="126" priority="43" operator="lessThan">
      <formula>0</formula>
    </cfRule>
  </conditionalFormatting>
  <conditionalFormatting sqref="D272:G285">
    <cfRule type="cellIs" dxfId="125" priority="45" operator="lessThan">
      <formula>0</formula>
    </cfRule>
  </conditionalFormatting>
  <conditionalFormatting sqref="D277:G277">
    <cfRule type="cellIs" dxfId="124" priority="38" operator="lessThanOrEqual">
      <formula>0</formula>
    </cfRule>
  </conditionalFormatting>
  <conditionalFormatting sqref="D286:G286">
    <cfRule type="expression" dxfId="123" priority="40">
      <formula>D$285&lt;=0</formula>
    </cfRule>
  </conditionalFormatting>
  <conditionalFormatting sqref="F296">
    <cfRule type="expression" dxfId="121" priority="33">
      <formula>F$295&lt;=0</formula>
    </cfRule>
  </conditionalFormatting>
  <pageMargins left="0.7" right="0.7" top="0.75" bottom="0.75" header="0.3" footer="0.3"/>
  <pageSetup paperSize="9" orientation="portrait" horizontalDpi="4294967293" r:id="rId1"/>
  <ignoredErrors>
    <ignoredError sqref="F274 E44 E56 D119:D121 D123 D126:D128 F119:F121 F185:F188 E66 E80 E86 E108 E181 E171 G171 E247 F126:F128 F123:F124" formula="1"/>
  </ignoredErrors>
  <extLst>
    <ext xmlns:x14="http://schemas.microsoft.com/office/spreadsheetml/2009/9/main" uri="{78C0D931-6437-407d-A8EE-F0AAD7539E65}">
      <x14:conditionalFormattings>
        <x14:conditionalFormatting xmlns:xm="http://schemas.microsoft.com/office/excel/2006/main">
          <x14:cfRule type="expression" priority="2932" id="{CA640FAA-F6F0-4877-BBB2-6F7E3F0F339F}">
            <xm:f>AND($E$31&lt;&gt;0,$D$12&lt;=Basisgegevens!$C$215)</xm:f>
            <x14:dxf>
              <fill>
                <patternFill>
                  <bgColor rgb="FFFF0000"/>
                </patternFill>
              </fill>
            </x14:dxf>
          </x14:cfRule>
          <xm:sqref>E31</xm:sqref>
        </x14:conditionalFormatting>
        <x14:conditionalFormatting xmlns:xm="http://schemas.microsoft.com/office/excel/2006/main">
          <x14:cfRule type="expression" priority="2933" id="{8901AFFA-B757-40C7-87DB-157B3E925CBD}">
            <xm:f>AND($G$31&lt;&gt;0,$F$12&lt;=Basisgegevens!$C$215)</xm:f>
            <x14:dxf>
              <fill>
                <patternFill>
                  <bgColor rgb="FFFF0000"/>
                </patternFill>
              </fill>
            </x14:dxf>
          </x14:cfRule>
          <xm:sqref>G31</xm:sqref>
        </x14:conditionalFormatting>
      </x14:conditionalFormattings>
    </ext>
    <ext xmlns:x14="http://schemas.microsoft.com/office/spreadsheetml/2009/9/main" uri="{CCE6A557-97BC-4b89-ADB6-D9C93CAAB3DF}">
      <x14:dataValidations xmlns:xm="http://schemas.microsoft.com/office/excel/2006/main" xWindow="647" yWindow="673" count="1">
        <x14:dataValidation type="list" showInputMessage="1" showErrorMessage="1" errorTitle="Fout" error="Er is een foutive waarde ingevoerd" promptTitle="Ja / Nee" prompt="Vul Ja of Nee in" xr:uid="{2D470EB0-94F9-4107-AE4B-0E429F410F5F}">
          <x14:formula1>
            <xm:f>Keuzelijsten!$G$2:$G$3</xm:f>
          </x14:formula1>
          <xm:sqref>D13:D14 F13:F14 D261:E261 D259:E259 D256:G256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393"/>
  <sheetViews>
    <sheetView showGridLines="0" tabSelected="1" zoomScale="80" zoomScaleNormal="80" workbookViewId="0">
      <selection activeCell="C4" sqref="C4"/>
    </sheetView>
  </sheetViews>
  <sheetFormatPr defaultColWidth="8.85546875" defaultRowHeight="15" x14ac:dyDescent="0.25"/>
  <cols>
    <col min="1" max="1" width="9.28515625" style="18" bestFit="1" customWidth="1"/>
    <col min="2" max="2" width="58.7109375" style="53" customWidth="1"/>
    <col min="3" max="4" width="21.7109375" style="21" customWidth="1"/>
    <col min="5" max="5" width="17.28515625" style="2" customWidth="1"/>
    <col min="6" max="6" width="18.7109375" style="2" customWidth="1"/>
    <col min="7" max="10" width="17.7109375" style="2" customWidth="1"/>
    <col min="11" max="11" width="5.7109375" style="2" customWidth="1"/>
    <col min="12" max="12" width="8.7109375" style="2" customWidth="1"/>
    <col min="13" max="13" width="25.7109375" style="18" customWidth="1"/>
    <col min="14" max="14" width="17.7109375" style="18" customWidth="1"/>
    <col min="15" max="18" width="16.7109375" style="18" customWidth="1"/>
    <col min="19" max="19" width="60.7109375" style="2" customWidth="1"/>
    <col min="20" max="31" width="20.7109375" style="2" customWidth="1"/>
    <col min="32" max="32" width="2.7109375" style="2" customWidth="1"/>
    <col min="33" max="16384" width="8.85546875" style="2"/>
  </cols>
  <sheetData>
    <row r="1" spans="1:32" ht="20.25" thickBot="1" x14ac:dyDescent="0.3">
      <c r="A1" s="872"/>
      <c r="B1" s="873" t="s">
        <v>424</v>
      </c>
      <c r="C1" s="874"/>
      <c r="D1" s="874"/>
      <c r="E1" s="875"/>
      <c r="F1" s="875"/>
      <c r="G1" s="875"/>
      <c r="H1" s="875"/>
      <c r="I1" s="891" t="s">
        <v>615</v>
      </c>
      <c r="J1" s="876"/>
      <c r="AF1" s="2340"/>
    </row>
    <row r="2" spans="1:32" ht="20.25" thickBot="1" x14ac:dyDescent="0.3">
      <c r="A2" s="468"/>
      <c r="B2" s="469"/>
      <c r="C2" s="9" t="s">
        <v>1121</v>
      </c>
      <c r="D2" s="1624" t="s">
        <v>1122</v>
      </c>
      <c r="E2" s="469"/>
      <c r="F2" s="469"/>
      <c r="L2" s="78" t="s">
        <v>209</v>
      </c>
      <c r="T2" s="1380" t="str">
        <f>P179</f>
        <v>--</v>
      </c>
      <c r="U2" s="1381" t="str">
        <f>Q179</f>
        <v>--</v>
      </c>
      <c r="V2" s="2664" t="s">
        <v>508</v>
      </c>
      <c r="W2" s="2665"/>
      <c r="X2" s="2667" t="s">
        <v>492</v>
      </c>
      <c r="Y2" s="2668"/>
      <c r="Z2" s="2664" t="s">
        <v>961</v>
      </c>
      <c r="AA2" s="2665"/>
      <c r="AE2" s="337" t="s">
        <v>1014</v>
      </c>
      <c r="AF2" s="2340"/>
    </row>
    <row r="3" spans="1:32" ht="15.75" thickBot="1" x14ac:dyDescent="0.3">
      <c r="A3" s="9" t="s">
        <v>249</v>
      </c>
      <c r="B3" s="153" t="s">
        <v>92</v>
      </c>
      <c r="C3" s="44" t="s">
        <v>441</v>
      </c>
      <c r="D3" s="44" t="s">
        <v>440</v>
      </c>
      <c r="E3" s="2769" t="s">
        <v>215</v>
      </c>
      <c r="F3" s="2770"/>
      <c r="G3" s="2770"/>
      <c r="H3" s="2770"/>
      <c r="I3" s="2770"/>
      <c r="J3" s="2771"/>
      <c r="N3" s="22" t="str">
        <f>BGPartnerAP</f>
        <v>AP</v>
      </c>
      <c r="R3" s="22" t="str">
        <f>BGPartnerAG</f>
        <v>AG</v>
      </c>
      <c r="T3" s="22" t="str">
        <f>BGPartnerAP</f>
        <v>AP</v>
      </c>
      <c r="U3" s="22" t="str">
        <f>BGPartnerAG</f>
        <v>AG</v>
      </c>
      <c r="V3" s="22" t="str">
        <f>BGPartnerAP</f>
        <v>AP</v>
      </c>
      <c r="W3" s="22" t="str">
        <f>BGPartnerAG</f>
        <v>AG</v>
      </c>
      <c r="X3" s="2675" t="str">
        <f>BGPartnerAG</f>
        <v>AG</v>
      </c>
      <c r="Y3" s="2661"/>
      <c r="Z3" s="22" t="str">
        <f>BGPartnerAP</f>
        <v>AP</v>
      </c>
      <c r="AA3" s="22" t="str">
        <f>BGPartnerAG</f>
        <v>AG</v>
      </c>
      <c r="AF3" s="2340"/>
    </row>
    <row r="4" spans="1:32" ht="15.75" thickBot="1" x14ac:dyDescent="0.3">
      <c r="A4" s="28" t="s">
        <v>528</v>
      </c>
      <c r="B4" s="2335" t="s">
        <v>93</v>
      </c>
      <c r="C4" s="99" t="s">
        <v>829</v>
      </c>
      <c r="D4" s="99" t="s">
        <v>830</v>
      </c>
      <c r="E4" s="2739" t="s">
        <v>1053</v>
      </c>
      <c r="F4" s="2740"/>
      <c r="G4" s="2740"/>
      <c r="H4" s="2740"/>
      <c r="I4" s="2740"/>
      <c r="J4" s="2741"/>
      <c r="L4" s="2760" t="s">
        <v>199</v>
      </c>
      <c r="M4" s="2761"/>
      <c r="N4" s="427">
        <f>AL94VerzInkomen_AP</f>
        <v>0</v>
      </c>
      <c r="O4" s="19" t="s">
        <v>200</v>
      </c>
      <c r="P4" s="2760" t="s">
        <v>199</v>
      </c>
      <c r="Q4" s="2761"/>
      <c r="R4" s="524">
        <f>AL94VerzInkomen_AG</f>
        <v>0</v>
      </c>
      <c r="S4" s="337" t="s">
        <v>438</v>
      </c>
      <c r="T4" s="677">
        <f>'Alimentatie 2023-02'!E129-AL94VerzInkomen_AP</f>
        <v>0</v>
      </c>
      <c r="U4" s="677">
        <f>'Alimentatie 2023-02'!G129-AL94VerzInkomen_AG</f>
        <v>0</v>
      </c>
      <c r="V4" s="556" t="s">
        <v>513</v>
      </c>
      <c r="W4" s="556" t="s">
        <v>513</v>
      </c>
      <c r="X4" s="1415" t="s">
        <v>495</v>
      </c>
      <c r="Y4" s="1466"/>
      <c r="Z4" s="556" t="s">
        <v>963</v>
      </c>
      <c r="AA4" s="556" t="s">
        <v>963</v>
      </c>
      <c r="AC4" s="815"/>
      <c r="AF4" s="2340"/>
    </row>
    <row r="5" spans="1:32" ht="15" customHeight="1" thickBot="1" x14ac:dyDescent="0.3">
      <c r="A5" s="69" t="s">
        <v>529</v>
      </c>
      <c r="B5" s="1036" t="s">
        <v>107</v>
      </c>
      <c r="C5" s="880">
        <v>29586</v>
      </c>
      <c r="D5" s="880">
        <v>29221</v>
      </c>
      <c r="E5" s="2742"/>
      <c r="F5" s="2743"/>
      <c r="G5" s="2743"/>
      <c r="H5" s="2743"/>
      <c r="I5" s="2743"/>
      <c r="J5" s="2744"/>
      <c r="K5" s="21"/>
      <c r="L5" s="2753" t="s">
        <v>605</v>
      </c>
      <c r="M5" s="2754"/>
      <c r="N5" s="675">
        <f>YEAR($C$9)</f>
        <v>2049</v>
      </c>
      <c r="P5" s="2753" t="s">
        <v>605</v>
      </c>
      <c r="Q5" s="2754"/>
      <c r="R5" s="673">
        <f>YEAR($D$9)</f>
        <v>2049</v>
      </c>
      <c r="S5" s="337" t="s">
        <v>461</v>
      </c>
      <c r="T5" s="1441">
        <f>AL94VerzInkomen_AP+T4</f>
        <v>0</v>
      </c>
      <c r="U5" s="1441">
        <f>R4+U4</f>
        <v>0</v>
      </c>
      <c r="V5" s="1441">
        <f>Jusvergelijking!C57</f>
        <v>0</v>
      </c>
      <c r="W5" s="1441">
        <f>Jusvergelijking!E57</f>
        <v>0</v>
      </c>
      <c r="X5" s="1727">
        <f ca="1">Behoefteberekening!F67</f>
        <v>0</v>
      </c>
      <c r="Y5" s="1467"/>
      <c r="Z5" s="1441">
        <f>AL94VerzInkomen_AP+AL85InkomstenEW_AP</f>
        <v>0</v>
      </c>
      <c r="AA5" s="1441">
        <f>AL94VerzInkomen_AG+AL85InkomstenEW_AG</f>
        <v>0</v>
      </c>
      <c r="AC5" s="815"/>
      <c r="AF5" s="2340"/>
    </row>
    <row r="6" spans="1:32" ht="15.75" thickBot="1" x14ac:dyDescent="0.3">
      <c r="A6" s="69" t="s">
        <v>530</v>
      </c>
      <c r="B6" s="1036" t="s">
        <v>429</v>
      </c>
      <c r="C6" s="672">
        <f>YEAR($C$16-(C$5-2))-1900</f>
        <v>42</v>
      </c>
      <c r="D6" s="672">
        <f>YEAR($C$16-(D$5-2))-1900</f>
        <v>43</v>
      </c>
      <c r="E6" s="2742" t="s">
        <v>695</v>
      </c>
      <c r="F6" s="2743"/>
      <c r="G6" s="2743"/>
      <c r="H6" s="2743"/>
      <c r="I6" s="2743"/>
      <c r="J6" s="2744"/>
      <c r="L6" s="2755" t="s">
        <v>606</v>
      </c>
      <c r="M6" s="2756"/>
      <c r="N6" s="676">
        <f>BGJaarBerekening</f>
        <v>2023</v>
      </c>
      <c r="P6" s="2755" t="s">
        <v>606</v>
      </c>
      <c r="Q6" s="2756"/>
      <c r="R6" s="674">
        <f>BGJaarBerekening</f>
        <v>2023</v>
      </c>
      <c r="S6" s="340"/>
      <c r="T6" s="2666" t="s">
        <v>267</v>
      </c>
      <c r="U6" s="2666" t="s">
        <v>267</v>
      </c>
      <c r="V6" s="2666" t="s">
        <v>816</v>
      </c>
      <c r="W6" s="2666" t="s">
        <v>816</v>
      </c>
      <c r="X6" s="2673" t="s">
        <v>493</v>
      </c>
      <c r="Y6" s="2669" t="s">
        <v>494</v>
      </c>
      <c r="Z6" s="2666" t="s">
        <v>816</v>
      </c>
      <c r="AA6" s="2666" t="s">
        <v>816</v>
      </c>
      <c r="AF6" s="2340"/>
    </row>
    <row r="7" spans="1:32" ht="15.75" thickBot="1" x14ac:dyDescent="0.3">
      <c r="A7" s="69" t="s">
        <v>531</v>
      </c>
      <c r="B7" s="1036" t="s">
        <v>149</v>
      </c>
      <c r="C7" s="100" t="s">
        <v>109</v>
      </c>
      <c r="D7" s="100" t="s">
        <v>109</v>
      </c>
      <c r="E7" s="2742" t="s">
        <v>696</v>
      </c>
      <c r="F7" s="2743"/>
      <c r="G7" s="2743"/>
      <c r="H7" s="2743"/>
      <c r="I7" s="2743"/>
      <c r="J7" s="2744"/>
      <c r="L7" s="76" t="s">
        <v>190</v>
      </c>
      <c r="M7" s="77" t="s">
        <v>206</v>
      </c>
      <c r="N7" s="2762" t="s">
        <v>114</v>
      </c>
      <c r="O7" s="2763"/>
      <c r="P7" s="2763"/>
      <c r="Q7" s="75" t="s">
        <v>206</v>
      </c>
      <c r="R7" s="2780" t="s">
        <v>114</v>
      </c>
      <c r="S7" s="2781"/>
      <c r="T7" s="2666"/>
      <c r="U7" s="2658"/>
      <c r="V7" s="2666"/>
      <c r="W7" s="2666"/>
      <c r="X7" s="2674"/>
      <c r="Y7" s="2670"/>
      <c r="Z7" s="2666"/>
      <c r="AA7" s="2666"/>
      <c r="AF7" s="2340"/>
    </row>
    <row r="8" spans="1:32" x14ac:dyDescent="0.25">
      <c r="A8" s="69" t="s">
        <v>532</v>
      </c>
      <c r="B8" s="1036" t="s">
        <v>691</v>
      </c>
      <c r="C8" s="100" t="s">
        <v>110</v>
      </c>
      <c r="D8" s="100" t="s">
        <v>110</v>
      </c>
      <c r="E8" s="2742" t="s">
        <v>697</v>
      </c>
      <c r="F8" s="2743"/>
      <c r="G8" s="2743"/>
      <c r="H8" s="2743"/>
      <c r="I8" s="2743"/>
      <c r="J8" s="2744"/>
      <c r="L8" s="688">
        <v>1</v>
      </c>
      <c r="M8" s="221">
        <f>IF(Q16="n.v.t",IF(Q23="n.v.t",IF(Q31="n.v.t",IF(Q38="n.v.t",IF(Q39="n.v.t",IF(Q40="n.v.t",IF(Q41="n.v.t",IF(Q42="n.v.t",IF(Q43="n.v.t",IF(Q44="n.v.t",IF(Q45="n.v.t",IF(Q46="n.v.t",IF(Q47="n.v.t",IF(Q48="n.v.t",IF(Q49="n.v.t","???",Q49),Q48),Q47),Q46),Q45),Q44),Q43),Q42),Q41),Q40),Q39),Q38),Q31),Q23),Q16)</f>
        <v>0</v>
      </c>
      <c r="N8" s="2792" t="str">
        <f>IF($Q16="n.v.t",IF($Q23="n.v.t",IF($Q31="n.v.t",IF($Q38="n.v.t",IF($Q39="n.v.t",IF($Q40="n.v.t",IF($Q41="n.v.t",IF($Q42="n.v.t",IF($Q43="n.v.t",IF($Q44="n.v.t",IF($Q45="n.v.t",IF($Q46="n.v.t",IF($Q47="n.v.t",IF($Q48="n.v.t",IF($Q49="n.v.t","???",S49),S48),S47),S46),S45),S44),S43),S42),S41),S40),S39),S38),S31),S23),S16)</f>
        <v>1: 0 tot 73031 tarief: 36,93% - Max. 26970</v>
      </c>
      <c r="O8" s="2793"/>
      <c r="P8" s="2793"/>
      <c r="Q8" s="221">
        <f>IF(R16="n.v.t",IF(R23="n.v.t",IF(R31="n.v.t",IF(R38="n.v.t",IF(R39="n.v.t",IF(R40="n.v.t",IF(R41="n.v.t",IF(R42="n.v.t",IF(R43="n.v.t",IF(R44="n.v.t",IF(R45="n.v.t",IF(R46="n.v.t",IF(R47="n.v.t",IF(R48="n.v.t",IF(R49="n.v.t","???",R49),R48),R47),R46),R45),R44),R43),R42),R41),R40),R39),R38),R31),R23),R16)</f>
        <v>0</v>
      </c>
      <c r="R8" s="2782" t="str">
        <f>IF($R16="n.v.t",IF($R23="n.v.t",IF($R31="n.v.t",IF($R38="n.v.t",IF($R39="n.v.t",IF($R40="n.v.t",IF($R41="n.v.t",IF($R42="n.v.t",IF($R43="n.v.t",IF($R44="n.v.t",IF($R45="n.v.t",IF($R46="n.v.t",IF($R47="n.v.t",IF($R48="n.v.t",IF($R49="n.v.t","???",S49),S48),S47),S46),S45),S44),S43),S42),S41),S40),S39),S38),S31),S23),S16)</f>
        <v>1: 0 tot 73031 tarief: 36,93% - Max. 26970</v>
      </c>
      <c r="S8" s="2783"/>
      <c r="T8" s="367">
        <f t="shared" ref="T8:W8" si="0">IF(T16="n.v.t",IF(T23="n.v.t",IF(T31="n.v.t",IF(T38="n.v.t",IF(T39="n.v.t",IF(T40="n.v.t",IF(T41="n.v.t",IF(T42="n.v.t",IF(T43="n.v.t",IF(T44="n.v.t",IF(T45="n.v.t",IF(T46="n.v.t",IF(T47="n.v.t",IF(T48="n.v.t",IF(T49="n.v.t","???",T49),T48),T47),T46),T45),T44),T43),T42),T41),T40),T39),T38),T31),T23),T16)</f>
        <v>0</v>
      </c>
      <c r="U8" s="367">
        <f t="shared" si="0"/>
        <v>0</v>
      </c>
      <c r="V8" s="367">
        <f t="shared" si="0"/>
        <v>0</v>
      </c>
      <c r="W8" s="367">
        <f t="shared" si="0"/>
        <v>0</v>
      </c>
      <c r="X8" s="1463">
        <f ca="1">IF(X16="n.v.t",IF(X23="n.v.t",IF(X31="n.v.t",IF(X38="n.v.t",IF(X39="n.v.t",IF(X40="n.v.t",IF(X41="n.v.t",IF(X42="n.v.t",IF(X43="n.v.t",IF(X44="n.v.t",IF(X45="n.v.t",IF(X46="n.v.t",IF(X47="n.v.t",IF(X48="n.v.t",IF(X49="n.v.t","???",X49),X48),X47),X46),X45),X44),X43),X42),X41),X40),X39),X38),X31),X23),X16)</f>
        <v>0</v>
      </c>
      <c r="Y8" s="367">
        <f ca="1">IF(Y16="n.v.t",IF(Y23="n.v.t",IF(Y31="n.v.t",IF(Y38="n.v.t",IF(Y39="n.v.t",IF(Y40="n.v.t",IF(Y41="n.v.t",IF(Y42="n.v.t",IF(Y43="n.v.t",IF(Y44="n.v.t",IF(Y45="n.v.t",IF(Y46="n.v.t",IF(Y47="n.v.t",IF(Y48="n.v.t",IF(Y49="n.v.t","???",Y49),Y48),Y47),Y46),Y45),Y44),Y43),Y42),Y41),Y40),Y39),Y38),Y31),Y23),Y16)</f>
        <v>0</v>
      </c>
      <c r="Z8" s="367">
        <f t="shared" ref="Z8:AA8" si="1">IF(Z16="n.v.t",IF(Z23="n.v.t",IF(Z31="n.v.t",IF(Z38="n.v.t",IF(Z39="n.v.t",IF(Z40="n.v.t",IF(Z41="n.v.t",IF(Z42="n.v.t",IF(Z43="n.v.t",IF(Z44="n.v.t",IF(Z45="n.v.t",IF(Z46="n.v.t",IF(Z47="n.v.t",IF(Z48="n.v.t",IF(Z49="n.v.t","???",Z49),Z48),Z47),Z46),Z45),Z44),Z43),Z42),Z41),Z40),Z39),Z38),Z31),Z23),Z16)</f>
        <v>0</v>
      </c>
      <c r="AA8" s="367">
        <f t="shared" si="1"/>
        <v>0</v>
      </c>
      <c r="AF8" s="2340"/>
    </row>
    <row r="9" spans="1:32" ht="15.75" thickBot="1" x14ac:dyDescent="0.3">
      <c r="A9" s="174" t="s">
        <v>533</v>
      </c>
      <c r="B9" s="2476" t="s">
        <v>698</v>
      </c>
      <c r="C9" s="2519">
        <v>54788</v>
      </c>
      <c r="D9" s="2519">
        <v>54788</v>
      </c>
      <c r="E9" s="2772" t="s">
        <v>453</v>
      </c>
      <c r="F9" s="2773"/>
      <c r="G9" s="2774" t="s">
        <v>634</v>
      </c>
      <c r="H9" s="2773"/>
      <c r="I9" s="2773"/>
      <c r="J9" s="2775"/>
      <c r="L9" s="690">
        <v>2</v>
      </c>
      <c r="M9" s="216">
        <f>IF(Q17="n.v.t",IF(Q24="n.v.t",IF(Q32="n.v.t",IF(Q50="n.v.t","???"),Q32),Q24),Q17)</f>
        <v>0</v>
      </c>
      <c r="N9" s="2794" t="str">
        <f>IF(Q17="n.v.t",IF(Q24="n.v.t",IF(Q32="n.v.t",IF(Q50="n.v.t",""),S32),S24),S17)</f>
        <v>2: vanaf 73031 tarief: 49,5%</v>
      </c>
      <c r="O9" s="2795"/>
      <c r="P9" s="2796"/>
      <c r="Q9" s="216">
        <f>IF(R17="n.v.t",IF(R24="n.v.t",IF(R32="n.v.t",IF(R50="n.v.t","???"),R32),R24),R17)</f>
        <v>0</v>
      </c>
      <c r="R9" s="2757" t="str">
        <f>IF(R17="n.v.t",IF($R24="n.v.t",IF($R32="n.v.t",IF(R50="n.v.t","???"),S32),S24),S17)</f>
        <v>2: vanaf 73031 tarief: 49,5%</v>
      </c>
      <c r="S9" s="2757"/>
      <c r="T9" s="368">
        <f t="shared" ref="T9:W9" si="2">IF(T17="n.v.t",IF(T24="n.v.t",IF(T32="n.v.t",IF(T50="n.v.t","???"),T32),T24),T17)</f>
        <v>0</v>
      </c>
      <c r="U9" s="368">
        <f t="shared" si="2"/>
        <v>0</v>
      </c>
      <c r="V9" s="368">
        <f t="shared" si="2"/>
        <v>0</v>
      </c>
      <c r="W9" s="368">
        <f t="shared" si="2"/>
        <v>0</v>
      </c>
      <c r="X9" s="1464">
        <f ca="1">IF(X17="n.v.t",IF(X24="n.v.t",IF(X32="n.v.t",IF(X50="n.v.t","???"),X32),X24),X17)</f>
        <v>0</v>
      </c>
      <c r="Y9" s="368">
        <f ca="1">IF(Y17="n.v.t",IF(Y24="n.v.t",IF(Y32="n.v.t",IF(Y50="n.v.t","???"),Y32),Y24),Y17)</f>
        <v>0</v>
      </c>
      <c r="Z9" s="368">
        <f t="shared" ref="Z9:AA9" si="3">IF(Z17="n.v.t",IF(Z24="n.v.t",IF(Z32="n.v.t",IF(Z50="n.v.t","???"),Z32),Z24),Z17)</f>
        <v>0</v>
      </c>
      <c r="AA9" s="368">
        <f t="shared" si="3"/>
        <v>0</v>
      </c>
      <c r="AF9" s="2340"/>
    </row>
    <row r="10" spans="1:32" ht="15.75" thickBot="1" x14ac:dyDescent="0.3">
      <c r="A10" s="169" t="s">
        <v>534</v>
      </c>
      <c r="B10" s="682" t="s">
        <v>469</v>
      </c>
      <c r="C10" s="2521" t="str">
        <f>IF(C$9&lt;=$C$16,"Ja","Nee")</f>
        <v>Nee</v>
      </c>
      <c r="D10" s="2521" t="str">
        <f>IF(D$9&lt;=$C$16,"Ja","Nee")</f>
        <v>Nee</v>
      </c>
      <c r="E10" s="2799" t="s">
        <v>1032</v>
      </c>
      <c r="F10" s="2800"/>
      <c r="G10" s="2800"/>
      <c r="H10" s="2800"/>
      <c r="I10" s="2800"/>
      <c r="J10" s="2801"/>
      <c r="L10" s="689">
        <v>3</v>
      </c>
      <c r="M10" s="222">
        <f>IF(Q25="n.v.t",IF(Q33="n.v.t",IF(Q51="n.v.t",0,Q51),Q33),Q25)</f>
        <v>0</v>
      </c>
      <c r="N10" s="2758" t="str">
        <f>IF(Q25="n.v.t",IF(Q33="n.v.t",IF(Q51="n.v.t","3: n.v.t",S51),S33),S25)</f>
        <v>3: n.v.t</v>
      </c>
      <c r="O10" s="2759"/>
      <c r="P10" s="2759"/>
      <c r="Q10" s="222">
        <f>IF(R25="n.v.t",IF(R33="n.v.t",IF(R51="n.v.t",0,R51),R33),R25)</f>
        <v>0</v>
      </c>
      <c r="R10" s="2784" t="str">
        <f>IF(R25="n.v.t",IF(R33="n.v.t",IF(R51="n.v.t","",S51),S33),S25)</f>
        <v/>
      </c>
      <c r="S10" s="2785"/>
      <c r="T10" s="369">
        <f t="shared" ref="T10:Y10" si="4">IF(T25="n.v.t",IF(T33="n.v.t",IF(T51="n.v.t",0,T51),T33),T25)</f>
        <v>0</v>
      </c>
      <c r="U10" s="369">
        <f t="shared" si="4"/>
        <v>0</v>
      </c>
      <c r="V10" s="369">
        <f t="shared" si="4"/>
        <v>0</v>
      </c>
      <c r="W10" s="369">
        <f t="shared" si="4"/>
        <v>0</v>
      </c>
      <c r="X10" s="1465">
        <f t="shared" si="4"/>
        <v>0</v>
      </c>
      <c r="Y10" s="369">
        <f t="shared" si="4"/>
        <v>0</v>
      </c>
      <c r="Z10" s="369">
        <f t="shared" ref="Z10:AA10" si="5">IF(Z25="n.v.t",IF(Z33="n.v.t",IF(Z51="n.v.t",0,Z51),Z33),Z25)</f>
        <v>0</v>
      </c>
      <c r="AA10" s="369">
        <f t="shared" si="5"/>
        <v>0</v>
      </c>
      <c r="AF10" s="2340"/>
    </row>
    <row r="11" spans="1:32" ht="15.75" thickBot="1" x14ac:dyDescent="0.3">
      <c r="A11" s="28" t="s">
        <v>1104</v>
      </c>
      <c r="B11" s="343" t="s">
        <v>1106</v>
      </c>
      <c r="C11" s="2520" t="s">
        <v>110</v>
      </c>
      <c r="D11" s="2518"/>
      <c r="E11" s="2802" t="s">
        <v>1095</v>
      </c>
      <c r="F11" s="2714"/>
      <c r="G11" s="2714"/>
      <c r="H11" s="2714"/>
      <c r="I11" s="2714"/>
      <c r="J11" s="2715"/>
      <c r="M11" s="364">
        <f>SUM(M8:M10)</f>
        <v>0</v>
      </c>
      <c r="Q11" s="364">
        <f>SUM(Q8:Q10)</f>
        <v>0</v>
      </c>
      <c r="R11" s="2"/>
      <c r="T11" s="365">
        <f t="shared" ref="T11:U11" si="6">SUM(T8:T10)</f>
        <v>0</v>
      </c>
      <c r="U11" s="365">
        <f t="shared" si="6"/>
        <v>0</v>
      </c>
      <c r="V11" s="365">
        <f t="shared" ref="V11:AA11" si="7">SUM(V8:V10)</f>
        <v>0</v>
      </c>
      <c r="W11" s="365">
        <f t="shared" si="7"/>
        <v>0</v>
      </c>
      <c r="X11" s="563">
        <f t="shared" ca="1" si="7"/>
        <v>0</v>
      </c>
      <c r="Y11" s="364">
        <f t="shared" ca="1" si="7"/>
        <v>0</v>
      </c>
      <c r="Z11" s="365">
        <f t="shared" si="7"/>
        <v>0</v>
      </c>
      <c r="AA11" s="365">
        <f t="shared" si="7"/>
        <v>0</v>
      </c>
      <c r="AF11" s="2340"/>
    </row>
    <row r="12" spans="1:32" ht="15.75" thickBot="1" x14ac:dyDescent="0.3">
      <c r="A12" s="30" t="s">
        <v>1105</v>
      </c>
      <c r="B12" s="2336" t="s">
        <v>1103</v>
      </c>
      <c r="C12" s="1133">
        <v>0.5</v>
      </c>
      <c r="D12" s="2477"/>
      <c r="E12" s="2653"/>
      <c r="F12" s="2737"/>
      <c r="G12" s="2737"/>
      <c r="H12" s="2737"/>
      <c r="I12" s="2737"/>
      <c r="J12" s="2738"/>
      <c r="AF12" s="2340"/>
    </row>
    <row r="13" spans="1:32" ht="15.75" thickBot="1" x14ac:dyDescent="0.3">
      <c r="A13" s="2522" t="s">
        <v>535</v>
      </c>
      <c r="B13" s="2517" t="s">
        <v>1107</v>
      </c>
      <c r="C13" s="2803" t="s">
        <v>1110</v>
      </c>
      <c r="D13" s="2737"/>
      <c r="E13" s="2737"/>
      <c r="F13" s="2737"/>
      <c r="G13" s="2737"/>
      <c r="H13" s="2737"/>
      <c r="I13" s="2737"/>
      <c r="J13" s="2738"/>
      <c r="AF13" s="2340"/>
    </row>
    <row r="14" spans="1:32" ht="15.75" thickBot="1" x14ac:dyDescent="0.3">
      <c r="L14" s="24" t="s">
        <v>688</v>
      </c>
      <c r="N14" s="2"/>
      <c r="P14" s="25" t="s">
        <v>111</v>
      </c>
      <c r="S14" s="26"/>
      <c r="T14" s="2671" t="s">
        <v>267</v>
      </c>
      <c r="U14" s="2669" t="s">
        <v>267</v>
      </c>
      <c r="V14" s="2657" t="s">
        <v>816</v>
      </c>
      <c r="W14" s="2657" t="s">
        <v>816</v>
      </c>
      <c r="X14" s="2671" t="s">
        <v>489</v>
      </c>
      <c r="Y14" s="2669" t="s">
        <v>490</v>
      </c>
      <c r="Z14" s="2657" t="s">
        <v>962</v>
      </c>
      <c r="AA14" s="2657" t="s">
        <v>962</v>
      </c>
      <c r="AF14" s="2340"/>
    </row>
    <row r="15" spans="1:32" ht="15.75" thickBot="1" x14ac:dyDescent="0.3">
      <c r="A15" s="9" t="s">
        <v>249</v>
      </c>
      <c r="B15" s="146" t="s">
        <v>338</v>
      </c>
      <c r="C15" s="71" t="s">
        <v>148</v>
      </c>
      <c r="D15" s="2788" t="s">
        <v>215</v>
      </c>
      <c r="E15" s="2770"/>
      <c r="F15" s="2770"/>
      <c r="G15" s="2770"/>
      <c r="H15" s="2770"/>
      <c r="I15" s="2770"/>
      <c r="J15" s="2771"/>
      <c r="L15" s="44" t="s">
        <v>190</v>
      </c>
      <c r="M15" s="869" t="s">
        <v>268</v>
      </c>
      <c r="N15" s="37" t="s">
        <v>580</v>
      </c>
      <c r="O15" s="37" t="s">
        <v>81</v>
      </c>
      <c r="P15" s="66" t="s">
        <v>0</v>
      </c>
      <c r="Q15" s="60" t="str">
        <f>BGPartnerAP</f>
        <v>AP</v>
      </c>
      <c r="R15" s="60" t="str">
        <f>BGPartnerAG</f>
        <v>AG</v>
      </c>
      <c r="S15" s="1064" t="s">
        <v>114</v>
      </c>
      <c r="T15" s="2672"/>
      <c r="U15" s="2670"/>
      <c r="V15" s="2658"/>
      <c r="W15" s="2658"/>
      <c r="X15" s="2672"/>
      <c r="Y15" s="2670"/>
      <c r="Z15" s="2658"/>
      <c r="AA15" s="2658"/>
      <c r="AF15" s="2340"/>
    </row>
    <row r="16" spans="1:32" x14ac:dyDescent="0.25">
      <c r="A16" s="28" t="s">
        <v>536</v>
      </c>
      <c r="B16" s="343" t="s">
        <v>419</v>
      </c>
      <c r="C16" s="1066">
        <v>45108</v>
      </c>
      <c r="D16" s="2789" t="str">
        <f>CONCATENATE("Vul hier een datum BINNEN ",LEFT(C22,4)," in, dit is de startdatum waarop de berekening moet worden vastgezet")</f>
        <v>Vul hier een datum BINNEN 2023 in, dit is de startdatum waarop de berekening moet worden vastgezet</v>
      </c>
      <c r="E16" s="2790"/>
      <c r="F16" s="2790"/>
      <c r="G16" s="2790"/>
      <c r="H16" s="2790"/>
      <c r="I16" s="2790"/>
      <c r="J16" s="2791"/>
      <c r="L16" s="28">
        <v>1</v>
      </c>
      <c r="M16" s="870">
        <v>0</v>
      </c>
      <c r="N16" s="759">
        <v>73031</v>
      </c>
      <c r="O16" s="1089">
        <v>0.36930000000000002</v>
      </c>
      <c r="P16" s="769">
        <f>ROUND(O16*(N16-1),0)</f>
        <v>26970</v>
      </c>
      <c r="Q16" s="515">
        <f>IF(BGAOWLeeftijdBereikt_AP="Nee",IF(AL94VerzInkomen_AP&gt;($N16-1),($N16-1)*$O16,$N$4*$O16),"n.v.t")</f>
        <v>0</v>
      </c>
      <c r="R16" s="515">
        <f>IF(BGAOWLeeftijdBereikt_AG="Nee",IF(AL94VerzInkomen_AG&gt;($N16-1),($N16-1)*$O16,AL94VerzInkomen_AG*$O16),"n.v.t")</f>
        <v>0</v>
      </c>
      <c r="S16" s="228" t="str">
        <f>L16&amp;": "&amp;M16&amp;" tot "&amp;N16&amp;" tarief: "&amp;(O16*100)&amp;"% - Max. "&amp;ROUND(P16,0)</f>
        <v>1: 0 tot 73031 tarief: 36,93% - Max. 26970</v>
      </c>
      <c r="T16" s="520">
        <f>IF(BGAOWLeeftijdBereikt_AP="Nee",IF($T$5&gt;($N16-1),($N16-1)*$O16,$T$5*$O16),"n.v.t")</f>
        <v>0</v>
      </c>
      <c r="U16" s="519">
        <f>IF(BGAOWLeeftijdBereikt_AG="Nee",IF($U$5&gt;($N16-1),($N16-1)*$O16,$U$5*$O16),"n.v.t")</f>
        <v>0</v>
      </c>
      <c r="V16" s="515">
        <f>IF(BGAOWLeeftijdBereikt_AP="Nee",IF($V$5&gt;($N16-1),($N16-1)*$O16,$V$5*$O16),"n.v.t")</f>
        <v>0</v>
      </c>
      <c r="W16" s="515">
        <f>IF(BGAOWLeeftijdBereikt_AG="Nee",IF($W$5&gt;($N16-1),($N16-1)*$O16,$W$5*$O16),"n.v.t")</f>
        <v>0</v>
      </c>
      <c r="X16" s="520">
        <f ca="1">IF(BGAOWLeeftijdBereikt_AG="Nee",IF($X$5&lt;=$M16,0,IF($X$5&gt;($N16-1)-$P$16,($N16-1)-$P16,$X$5)),"n.v.t")</f>
        <v>0</v>
      </c>
      <c r="Y16" s="519">
        <f ca="1">IF(X16="n.v.t",X16,X16/(1-$O16))</f>
        <v>0</v>
      </c>
      <c r="Z16" s="515">
        <f>IF(BGAOWLeeftijdBereikt_AP="Nee",IF($Z$5&gt;($N16-1),($N16-1)*$O16,$Z$5*$O16),"n.v.t")</f>
        <v>0</v>
      </c>
      <c r="AA16" s="515">
        <f>IF(BGAOWLeeftijdBereikt_AG="Nee",IF($AA$5&gt;($N16-1),($N16-1)*$O16,$AA$5*$O16),"n.v.t")</f>
        <v>0</v>
      </c>
      <c r="AF16" s="2340"/>
    </row>
    <row r="17" spans="1:32" ht="15.75" thickBot="1" x14ac:dyDescent="0.3">
      <c r="A17" s="30" t="s">
        <v>537</v>
      </c>
      <c r="B17" s="344" t="s">
        <v>339</v>
      </c>
      <c r="C17" s="1383">
        <f>_xlfn.NUMBERVALUE(LEFT(C22,4),",",".")</f>
        <v>2023</v>
      </c>
      <c r="D17" s="2678" t="s">
        <v>583</v>
      </c>
      <c r="E17" s="2679"/>
      <c r="F17" s="2679"/>
      <c r="G17" s="2679"/>
      <c r="H17" s="2679"/>
      <c r="I17" s="2679"/>
      <c r="J17" s="2680"/>
      <c r="L17" s="30">
        <v>2</v>
      </c>
      <c r="M17" s="871">
        <f>N16</f>
        <v>73031</v>
      </c>
      <c r="N17" s="771"/>
      <c r="O17" s="772">
        <v>0.495</v>
      </c>
      <c r="P17" s="773">
        <f>IF(N4&lt;M17,0,(N4-(N16-1))*O17)</f>
        <v>0</v>
      </c>
      <c r="Q17" s="517">
        <f>IF(BGAOWLeeftijdBereikt_AP="Nee",IF(AL94VerzInkomen_AP&lt;$M17,0,(AL94VerzInkomen_AP-($N16-1))*$O17),"n.v.t")</f>
        <v>0</v>
      </c>
      <c r="R17" s="517">
        <f>IF(BGAOWLeeftijdBereikt_AG="Nee",IF(AL94VerzInkomen_AG&lt;$M17,0,(AL94VerzInkomen_AG-($N16-1))*$O17),"n.v.t")</f>
        <v>0</v>
      </c>
      <c r="S17" s="230" t="str">
        <f>L17&amp;": vanaf "&amp;M17&amp;" tarief: "&amp;(O17*100)&amp;"%"</f>
        <v>2: vanaf 73031 tarief: 49,5%</v>
      </c>
      <c r="T17" s="522">
        <f>IF(BGAOWLeeftijdBereikt_AP="Nee",IF($T$5&lt;$M17,0,($T$5-($N16-1))*$O17),"n.v.t")</f>
        <v>0</v>
      </c>
      <c r="U17" s="521">
        <f>IF(BGAOWLeeftijdBereikt_AG="Nee",IF($U$5&lt;$M17,0,($U$5-($N16-1))*$O17),"n.v.t")</f>
        <v>0</v>
      </c>
      <c r="V17" s="517">
        <f>IF(BGAOWLeeftijdBereikt_AP="Nee",IF($V$5&lt;$M17,0,($V$5-($N16-1))*$O17),"n.v.t")</f>
        <v>0</v>
      </c>
      <c r="W17" s="517">
        <f>IF(BGAOWLeeftijdBereikt_AG="Nee",IF($W$5&lt;$M17,0,($W$5-($N16-1))*$O17),"n.v.t")</f>
        <v>0</v>
      </c>
      <c r="X17" s="518">
        <f ca="1">IF(BGAOWLeeftijdBereikt_AG="Nee",IF($X$5&lt;$M17-SUM($P$16:$P16),0,IF($X$5&gt;=$M17-SUM($P$16:$P16),$X$5-SUM(X$16:X16))),"n.v.t")</f>
        <v>0</v>
      </c>
      <c r="Y17" s="521">
        <f ca="1">IF(X17="n.v.t",X17,X17/(1-$O17))</f>
        <v>0</v>
      </c>
      <c r="Z17" s="517">
        <f>IF(BGAOWLeeftijdBereikt_AP="Nee",IF($Z$5&lt;$M17,0,($Z$5-(N16-1))*$O17),"n.v.t")</f>
        <v>0</v>
      </c>
      <c r="AA17" s="517">
        <f>IF(BGAOWLeeftijdBereikt_AG="Nee",IF($AA$5&lt;$M17,0,($AA$5-(N16-1))*$O17),"n.v.t")</f>
        <v>0</v>
      </c>
      <c r="AF17" s="2340"/>
    </row>
    <row r="18" spans="1:32" ht="15.75" thickBot="1" x14ac:dyDescent="0.3">
      <c r="O18" s="2676" t="s">
        <v>204</v>
      </c>
      <c r="P18" s="2677"/>
      <c r="Q18" s="427">
        <f>SUM(Q16:Q17)</f>
        <v>0</v>
      </c>
      <c r="R18" s="427">
        <f>SUM(R16:R17)</f>
        <v>0</v>
      </c>
      <c r="T18" s="523">
        <f t="shared" ref="T18:U18" si="8">SUM(T16:T17)</f>
        <v>0</v>
      </c>
      <c r="U18" s="427">
        <f t="shared" si="8"/>
        <v>0</v>
      </c>
      <c r="V18" s="523">
        <f t="shared" ref="V18:AA18" si="9">SUM(V16:V17)</f>
        <v>0</v>
      </c>
      <c r="W18" s="427">
        <f t="shared" si="9"/>
        <v>0</v>
      </c>
      <c r="X18" s="523">
        <f t="shared" ca="1" si="9"/>
        <v>0</v>
      </c>
      <c r="Y18" s="427">
        <f t="shared" ca="1" si="9"/>
        <v>0</v>
      </c>
      <c r="Z18" s="523">
        <f t="shared" si="9"/>
        <v>0</v>
      </c>
      <c r="AA18" s="427">
        <f t="shared" si="9"/>
        <v>0</v>
      </c>
      <c r="AF18" s="2340"/>
    </row>
    <row r="19" spans="1:32" ht="15.75" customHeight="1" thickBot="1" x14ac:dyDescent="0.3">
      <c r="A19" s="9" t="s">
        <v>249</v>
      </c>
      <c r="B19" s="146" t="s">
        <v>788</v>
      </c>
      <c r="C19" s="27" t="s">
        <v>148</v>
      </c>
      <c r="D19" s="2788" t="s">
        <v>215</v>
      </c>
      <c r="E19" s="2770"/>
      <c r="F19" s="2770"/>
      <c r="G19" s="2770"/>
      <c r="H19" s="2770"/>
      <c r="I19" s="2770"/>
      <c r="J19" s="2771"/>
      <c r="U19" s="340"/>
      <c r="W19" s="340"/>
      <c r="X19" s="340"/>
      <c r="AA19" s="340"/>
      <c r="AF19" s="2340"/>
    </row>
    <row r="20" spans="1:32" ht="15.75" customHeight="1" thickBot="1" x14ac:dyDescent="0.3">
      <c r="A20" s="28" t="s">
        <v>538</v>
      </c>
      <c r="B20" s="345" t="s">
        <v>1123</v>
      </c>
      <c r="C20" s="346"/>
      <c r="D20" s="2789" t="s">
        <v>1054</v>
      </c>
      <c r="E20" s="2790"/>
      <c r="F20" s="2790"/>
      <c r="G20" s="2790"/>
      <c r="H20" s="2790"/>
      <c r="I20" s="2790"/>
      <c r="J20" s="2791"/>
      <c r="L20" s="24" t="s">
        <v>687</v>
      </c>
      <c r="N20" s="2"/>
      <c r="P20" s="25" t="s">
        <v>111</v>
      </c>
      <c r="AF20" s="2340"/>
    </row>
    <row r="21" spans="1:32" ht="15.75" thickBot="1" x14ac:dyDescent="0.3">
      <c r="A21" s="30" t="s">
        <v>1108</v>
      </c>
      <c r="B21" s="344" t="str">
        <f>"Eerder vastgesteld NBI in "&amp;C20&amp;" (= het jaar van scheiding)"</f>
        <v>Eerder vastgesteld NBI in  (= het jaar van scheiding)</v>
      </c>
      <c r="C21" s="347"/>
      <c r="D21" s="2678" t="s">
        <v>787</v>
      </c>
      <c r="E21" s="2679"/>
      <c r="F21" s="2679"/>
      <c r="G21" s="2679"/>
      <c r="H21" s="2679"/>
      <c r="I21" s="2679"/>
      <c r="J21" s="2680"/>
      <c r="M21" s="233" t="s">
        <v>205</v>
      </c>
      <c r="N21" s="234">
        <v>16803</v>
      </c>
      <c r="O21" s="61"/>
      <c r="P21" s="61"/>
      <c r="Q21" s="61"/>
      <c r="R21" s="61"/>
      <c r="S21" s="61"/>
      <c r="T21" s="2657" t="s">
        <v>267</v>
      </c>
      <c r="U21" s="2657" t="s">
        <v>267</v>
      </c>
      <c r="V21" s="2657" t="s">
        <v>816</v>
      </c>
      <c r="W21" s="2657" t="s">
        <v>816</v>
      </c>
      <c r="X21" s="2671" t="s">
        <v>489</v>
      </c>
      <c r="Y21" s="2669" t="s">
        <v>490</v>
      </c>
      <c r="Z21" s="2657" t="s">
        <v>962</v>
      </c>
      <c r="AA21" s="2657" t="s">
        <v>962</v>
      </c>
      <c r="AF21" s="2340"/>
    </row>
    <row r="22" spans="1:32" ht="15.75" thickBot="1" x14ac:dyDescent="0.3">
      <c r="A22" s="359" t="s">
        <v>1109</v>
      </c>
      <c r="B22" s="881" t="s">
        <v>581</v>
      </c>
      <c r="C22" s="2797" t="s">
        <v>1111</v>
      </c>
      <c r="D22" s="2798"/>
      <c r="L22" s="65" t="s">
        <v>190</v>
      </c>
      <c r="M22" s="68" t="s">
        <v>268</v>
      </c>
      <c r="N22" s="62" t="s">
        <v>580</v>
      </c>
      <c r="O22" s="37" t="s">
        <v>81</v>
      </c>
      <c r="P22" s="66" t="s">
        <v>0</v>
      </c>
      <c r="Q22" s="60" t="str">
        <f>BGPartnerAP</f>
        <v>AP</v>
      </c>
      <c r="R22" s="49" t="str">
        <f>BGPartnerAG</f>
        <v>AG</v>
      </c>
      <c r="S22" s="1480" t="s">
        <v>114</v>
      </c>
      <c r="T22" s="2658"/>
      <c r="U22" s="2658"/>
      <c r="V22" s="2658"/>
      <c r="W22" s="2658"/>
      <c r="X22" s="2672"/>
      <c r="Y22" s="2670"/>
      <c r="Z22" s="2658"/>
      <c r="AA22" s="2658"/>
      <c r="AF22" s="2340"/>
    </row>
    <row r="23" spans="1:32" ht="16.5" thickBot="1" x14ac:dyDescent="0.3">
      <c r="C23" s="2"/>
      <c r="D23" s="2"/>
      <c r="E23" s="334"/>
      <c r="L23" s="67">
        <v>1</v>
      </c>
      <c r="M23" s="759">
        <v>0</v>
      </c>
      <c r="N23" s="759">
        <v>38703</v>
      </c>
      <c r="O23" s="1089">
        <v>0.1903</v>
      </c>
      <c r="P23" s="223">
        <f>O23*(N23-1)</f>
        <v>7364.9906000000001</v>
      </c>
      <c r="Q23" s="515" t="str">
        <f>IF(AND(C$5&lt;$N$21,BGAOWLeeftijdBereikt_AP="Ja"),IF(AL94VerzInkomen_AP&gt;($N23-1),($N23-1)*$O23,AL94VerzInkomen_AP*$O23),"n.v.t")</f>
        <v>n.v.t</v>
      </c>
      <c r="R23" s="1061" t="str">
        <f>IF(AND(D$5&lt;$N$21,BGAOWLeeftijdBereikt_AG="Ja"),IF(AL94VerzInkomen_AG&gt;($N23-1),($N23-1)*$O23,AL94VerzInkomen_AG*$O23),"n.v.t")</f>
        <v>n.v.t</v>
      </c>
      <c r="S23" s="224" t="str">
        <f>L23&amp;": "&amp;M23&amp;" tot "&amp;N23&amp;" tarief: "&amp;(O23*100)&amp;"% - Max. "&amp;ROUND(P23,0)</f>
        <v>1: 0 tot 38703 tarief: 19,03% - Max. 7365</v>
      </c>
      <c r="T23" s="515" t="str">
        <f>IF(AND($C$5&lt;$N$21,BGAOWLeeftijdBereikt_AP="Ja"),IF($T$5&gt;($N23-1),($N23-1)*$O23,$T$5*$O23),"n.v.t")</f>
        <v>n.v.t</v>
      </c>
      <c r="U23" s="515" t="str">
        <f>IF(AND($D$5&lt;$N$21,BGAOWLeeftijdBereikt_AG="Ja"),IF($U$5&gt;($N23-1),($N23-1)*$O23,$U$5*$O23),"n.v.t")</f>
        <v>n.v.t</v>
      </c>
      <c r="V23" s="515" t="str">
        <f>IF(AND($C$5&lt;$N$21,BGAOWLeeftijdBereikt_AP="Ja"),IF($V$5&gt;($N23-1),($N23-1)*$O23,$V$5*$O23),"n.v.t")</f>
        <v>n.v.t</v>
      </c>
      <c r="W23" s="1061" t="str">
        <f>IF(AND($D$5&lt;$N$21,BGAOWLeeftijdBereikt_AG="Ja"),IF($W$5&gt;($N23-1),($N23-1)*$O23,$W$5*$O23),"n.v.t")</f>
        <v>n.v.t</v>
      </c>
      <c r="X23" s="520" t="str">
        <f>IF(AND($D$5&lt;$N$21,BGAOWLeeftijdBereikt_AG="Ja"),IF($X$5&lt;=M23,0,IF($X$5&gt;($N23-1)-SUM(P23:P23),($N23-1)-P23,$X$5)),"n.v.t")</f>
        <v>n.v.t</v>
      </c>
      <c r="Y23" s="519" t="str">
        <f>IF(X23="n.v.t",X23,X23/(1-$O23))</f>
        <v>n.v.t</v>
      </c>
      <c r="Z23" s="515" t="str">
        <f>IF(AND($C$5&lt;$N$21,BGAOWLeeftijdBereikt_AP="Ja"),IF($Z$5&gt;($N23-1),($N23-1)*$O23,$Z$5*$O23),"n.v.t")</f>
        <v>n.v.t</v>
      </c>
      <c r="AA23" s="515" t="str">
        <f>IF(AND($D$5&lt;$N$21,BGAOWLeeftijdBereikt_AG="Ja"),IF($AA$5&gt;($N23-1),($N23-1)*$O23,$AA$5*$O23),"n.v.t")</f>
        <v>n.v.t</v>
      </c>
      <c r="AF23" s="2340"/>
    </row>
    <row r="24" spans="1:32" ht="15.75" thickBot="1" x14ac:dyDescent="0.3">
      <c r="A24" s="166"/>
      <c r="B24" s="356" t="s">
        <v>353</v>
      </c>
      <c r="C24" s="64" t="str">
        <f>BGPartnerAP</f>
        <v>AP</v>
      </c>
      <c r="E24" s="22" t="str">
        <f>BGPartnerAG</f>
        <v>AG</v>
      </c>
      <c r="L24" s="29">
        <v>2</v>
      </c>
      <c r="M24" s="751">
        <f>N23</f>
        <v>38703</v>
      </c>
      <c r="N24" s="739">
        <v>73031</v>
      </c>
      <c r="O24" s="792">
        <v>0.36930000000000002</v>
      </c>
      <c r="P24" s="225">
        <f>O24*(N24-N23)</f>
        <v>12677.330400000001</v>
      </c>
      <c r="Q24" s="516" t="str">
        <f>IF(AND(C$5&lt;$N$21,BGAOWLeeftijdBereikt_AP="Ja"),IF(AL94VerzInkomen_AP&lt;$M24,0,IF(AL94VerzInkomen_AP&gt;$N24,($N24-$N23)*$O24,(AL94VerzInkomen_AP-$N23)*$O24)),"n.v.t")</f>
        <v>n.v.t</v>
      </c>
      <c r="R24" s="1062" t="str">
        <f>IF(AND(D$5&lt;$N$21,BGAOWLeeftijdBereikt_AG="Ja"),IF(AL94VerzInkomen_AG&lt;$M24,0,IF(AL94VerzInkomen_AG&gt;$N24,($N24-$N23)*$O24,(AL94VerzInkomen_AG-$N23)*$O24)),"n.v.t")</f>
        <v>n.v.t</v>
      </c>
      <c r="S24" s="226" t="str">
        <f>L24&amp;": "&amp;M24&amp;" tot "&amp;N24&amp;" tarief: "&amp;(O24*100)&amp;"% - Max. "&amp;ROUND(P24,0)</f>
        <v>2: 38703 tot 73031 tarief: 36,93% - Max. 12677</v>
      </c>
      <c r="T24" s="516" t="str">
        <f>IF(AND($C$5&lt;$N$21,BGAOWLeeftijdBereikt_AP="Ja"),IF($T$5&lt;$M24,0,IF($T$5&gt;$N24,($N24-$N23)*$O24,($T$5-$N23)*$O24)),"n.v.t")</f>
        <v>n.v.t</v>
      </c>
      <c r="U24" s="516" t="str">
        <f>IF(AND($D$5&lt;$N$21,BGAOWLeeftijdBereikt_AG="Ja"),IF($U$5&lt;$M24,0,IF($U$5&gt;$N24,($N24-$N23)*$O24,($U$5-$N23)*$O24)),"n.v.t")</f>
        <v>n.v.t</v>
      </c>
      <c r="V24" s="516" t="str">
        <f>IF(AND($C$5&lt;$N$21,BGAOWLeeftijdBereikt_AP="Ja"),IF($V$5&lt;$M24,0,IF($V$5&gt;$N24,($N24-$N23)*$O24,($V$5-$N23)*$O24)),"n.v.t")</f>
        <v>n.v.t</v>
      </c>
      <c r="W24" s="1062" t="str">
        <f>IF(AND($D$5&lt;$N$21,BGAOWLeeftijdBereikt_AG="Ja"),IF($W$5&lt;$M24,0,IF($W$5&gt;$N24,($N24-$N23)*$O24,($W$5-$N23)*$O24)),"n.v.t")</f>
        <v>n.v.t</v>
      </c>
      <c r="X24" s="518" t="str">
        <f>IF(AND($D$5&lt;$N$21,BGAOWLeeftijdBereikt_AG="Ja"),IF($X$5&lt;M24-SUM(P23:P23),0,IF($X$5&gt;N24-SUM(P23:P24),N24-M24-P24,$X$5-SUM(X$23:X23))),"n.v.t")</f>
        <v>n.v.t</v>
      </c>
      <c r="Y24" s="516" t="str">
        <f>IF(X24="n.v.t",X24,X24/(1-$O24))</f>
        <v>n.v.t</v>
      </c>
      <c r="Z24" s="516" t="str">
        <f>IF(AND($C$5&lt;$N$21,BGAOWLeeftijdBereikt_AP="Ja"),IF($Z$5&lt;$M24,0,IF($Z$5&gt;$N24,($N24-$N23)*$O24,($Z$5-$N23)*$O24)),"n.v.t")</f>
        <v>n.v.t</v>
      </c>
      <c r="AA24" s="516" t="str">
        <f>IF(AND($D$5&lt;$N$21,BGAOWLeeftijdBereikt_AG="Ja"),IF($AA$5&lt;$M24,0,IF($AA$5&gt;$N24,($N24-$N23)*$O24,($AA$5-$N23)*$O24)),"n.v.t")</f>
        <v>n.v.t</v>
      </c>
      <c r="AF24" s="2340"/>
    </row>
    <row r="25" spans="1:32" ht="15.75" thickBot="1" x14ac:dyDescent="0.3">
      <c r="B25" s="278" t="s">
        <v>357</v>
      </c>
      <c r="C25" s="45" t="s">
        <v>95</v>
      </c>
      <c r="D25" s="337" t="s">
        <v>357</v>
      </c>
      <c r="E25" s="45" t="s">
        <v>95</v>
      </c>
      <c r="F25" s="2" t="s">
        <v>896</v>
      </c>
      <c r="L25" s="31">
        <v>3</v>
      </c>
      <c r="M25" s="770">
        <f>N24</f>
        <v>73031</v>
      </c>
      <c r="N25" s="771"/>
      <c r="O25" s="772">
        <v>0.495</v>
      </c>
      <c r="P25" s="231">
        <f>IF(Q21&lt;M25,0,(Q21-Basisgegevens!N24)*Basisgegevens!O25)</f>
        <v>0</v>
      </c>
      <c r="Q25" s="517" t="str">
        <f>IF(AND(C$5&lt;$N$21,BGAOWLeeftijdBereikt_AP="Ja"),IF(AL94VerzInkomen_AP&lt;$M25,0,(AL94VerzInkomen_AP-$N24)*$O25),"n.v.t")</f>
        <v>n.v.t</v>
      </c>
      <c r="R25" s="1063" t="str">
        <f>IF(AND(D$5&lt;$N$21,BGAOWLeeftijdBereikt_AG="Ja"),IF(AL94VerzInkomen_AG&lt;$M25,0,(AL94VerzInkomen_AG-$N24)*$O25),"n.v.t")</f>
        <v>n.v.t</v>
      </c>
      <c r="S25" s="227" t="str">
        <f>L25&amp;": vanaf "&amp;M25&amp;" tarief: "&amp;(O25*100)&amp;"%"</f>
        <v>3: vanaf 73031 tarief: 49,5%</v>
      </c>
      <c r="T25" s="517" t="str">
        <f>IF(AND($C$5&lt;$N$21,BGAOWLeeftijdBereikt_AP="Ja"),IF($T$5&lt;$M25,0,($T$5-$N24)*$O25),"n.v.t")</f>
        <v>n.v.t</v>
      </c>
      <c r="U25" s="517" t="str">
        <f>IF(AND($D$5&lt;$N$21,BGAOWLeeftijdBereikt_AG="Ja"),IF($U$5&lt;$M25,0,($U$5-$N24)*$O25),"n.v.t")</f>
        <v>n.v.t</v>
      </c>
      <c r="V25" s="517" t="str">
        <f>IF(AND($C$5&lt;$N$21,BGAOWLeeftijdBereikt_AP="Ja"),IF($V$5&lt;$M25,0,($V$5-$N24)*$O25),"n.v.t")</f>
        <v>n.v.t</v>
      </c>
      <c r="W25" s="1063" t="str">
        <f>IF(AND($D$5&lt;$N$21,BGAOWLeeftijdBereikt_AG="Ja"),IF($W$5&lt;$M25,0,($W$5-$N24)*$O25),"n.v.t")</f>
        <v>n.v.t</v>
      </c>
      <c r="X25" s="518" t="str">
        <f>IF(AND($D$5&lt;$N$21,BGAOWLeeftijdBereikt_AG="Ja"),IF($X$5&lt;M25-SUM(P23:P24),0,IF($X$5&gt;=M25-SUM(P23:P24),$X$5-SUM(X$23:X24))),"n.v.t")</f>
        <v>n.v.t</v>
      </c>
      <c r="Y25" s="521" t="str">
        <f>IF(X25="n.v.t",X25,X25/(1-$O25))</f>
        <v>n.v.t</v>
      </c>
      <c r="Z25" s="517" t="str">
        <f>IF(AND($C$5&lt;$N$21,BGAOWLeeftijdBereikt_AP="Ja"),IF($Z$5&lt;$M25,0,($Z$5-$N24)*$O25),"n.v.t")</f>
        <v>n.v.t</v>
      </c>
      <c r="AA25" s="517" t="str">
        <f>IF(AND($D$5&lt;$N$21,BGAOWLeeftijdBereikt_AG="Ja"),IF($AA$5&lt;$M25,0,($AA$5-$N24)*$O25),"n.v.t")</f>
        <v>n.v.t</v>
      </c>
      <c r="AF25" s="2340"/>
    </row>
    <row r="26" spans="1:32" ht="15.75" thickBot="1" x14ac:dyDescent="0.3">
      <c r="A26" s="44" t="s">
        <v>249</v>
      </c>
      <c r="B26" s="153" t="s">
        <v>74</v>
      </c>
      <c r="C26" s="22" t="str">
        <f>IF(C25="Maand","Per Maand",IF(C25="4 Weken","Per 4-weken",IF(C25="Anders","Anders","")))</f>
        <v>Per Maand</v>
      </c>
      <c r="D26" s="122" t="s">
        <v>356</v>
      </c>
      <c r="E26" s="22" t="str">
        <f>IF(E25="Maand","Per Maand",IF(E25="4 Weken","Per 4-weken",IF(E25="Anders","Anders","")))</f>
        <v>Per Maand</v>
      </c>
      <c r="F26" s="71" t="s">
        <v>356</v>
      </c>
      <c r="G26" s="2788" t="s">
        <v>215</v>
      </c>
      <c r="H26" s="2770"/>
      <c r="I26" s="2770"/>
      <c r="J26" s="2771"/>
      <c r="O26" s="2676" t="s">
        <v>204</v>
      </c>
      <c r="P26" s="2677"/>
      <c r="Q26" s="427">
        <f>SUM(Q23:Q25)</f>
        <v>0</v>
      </c>
      <c r="R26" s="564">
        <f>SUM(R23:R25)</f>
        <v>0</v>
      </c>
      <c r="S26" s="18"/>
      <c r="T26" s="427">
        <f t="shared" ref="T26:Y26" si="10">SUM(T23:T25)</f>
        <v>0</v>
      </c>
      <c r="U26" s="427">
        <f t="shared" si="10"/>
        <v>0</v>
      </c>
      <c r="V26" s="523">
        <f>SUM(V23:V25)</f>
        <v>0</v>
      </c>
      <c r="W26" s="427">
        <f>SUM(W23:W25)</f>
        <v>0</v>
      </c>
      <c r="X26" s="523">
        <f t="shared" si="10"/>
        <v>0</v>
      </c>
      <c r="Y26" s="427">
        <f t="shared" si="10"/>
        <v>0</v>
      </c>
      <c r="Z26" s="523">
        <f>SUM(Z23:Z25)</f>
        <v>0</v>
      </c>
      <c r="AA26" s="427">
        <f>SUM(AA23:AA25)</f>
        <v>0</v>
      </c>
      <c r="AF26" s="2340"/>
    </row>
    <row r="27" spans="1:32" ht="15.75" customHeight="1" x14ac:dyDescent="0.25">
      <c r="A27" s="28"/>
      <c r="B27" s="357" t="s">
        <v>354</v>
      </c>
      <c r="C27" s="81">
        <v>0</v>
      </c>
      <c r="D27" s="904">
        <f>IF(C$25="Maand",C27*12,IF(C$25="4 Weken",C27*13,IF(C$25="Week",C27*52,0)))</f>
        <v>0</v>
      </c>
      <c r="E27" s="81">
        <v>0</v>
      </c>
      <c r="F27" s="904">
        <f>IF(E$25="Maand",E27*12,IF(E$25="4 Weken",E27*13,IF(E$25="Week",E27*52,0)))</f>
        <v>0</v>
      </c>
      <c r="G27" s="2729" t="s">
        <v>434</v>
      </c>
      <c r="H27" s="2730"/>
      <c r="I27" s="2730"/>
      <c r="J27" s="2731"/>
      <c r="AF27" s="2340"/>
    </row>
    <row r="28" spans="1:32" ht="15.75" customHeight="1" thickBot="1" x14ac:dyDescent="0.3">
      <c r="A28" s="30"/>
      <c r="B28" s="358" t="s">
        <v>355</v>
      </c>
      <c r="C28" s="279">
        <v>0</v>
      </c>
      <c r="D28" s="905">
        <f>IF(C$25="Maand",C28*12,IF(C$25="4 Weken",C28*13,IF(C$25="Week",C28*52,0)))</f>
        <v>0</v>
      </c>
      <c r="E28" s="279">
        <v>0</v>
      </c>
      <c r="F28" s="905">
        <f>IF(E$25="Maand",E28*12,IF(E$25="4 Weken",E28*13,IF(E$25="Week",E28*52,0)))</f>
        <v>0</v>
      </c>
      <c r="G28" s="2678" t="s">
        <v>434</v>
      </c>
      <c r="H28" s="2679"/>
      <c r="I28" s="2679"/>
      <c r="J28" s="2680"/>
      <c r="L28" s="24" t="s">
        <v>686</v>
      </c>
      <c r="N28" s="2"/>
      <c r="P28" s="25" t="s">
        <v>111</v>
      </c>
      <c r="S28" s="26"/>
      <c r="AF28" s="2340"/>
    </row>
    <row r="29" spans="1:32" ht="15.75" thickBot="1" x14ac:dyDescent="0.3">
      <c r="A29" s="169"/>
      <c r="B29" s="114" t="s">
        <v>358</v>
      </c>
      <c r="C29" s="48">
        <f>C27-C28</f>
        <v>0</v>
      </c>
      <c r="D29" s="280">
        <f>D27-D28</f>
        <v>0</v>
      </c>
      <c r="E29" s="48">
        <f>E27-E28</f>
        <v>0</v>
      </c>
      <c r="F29" s="268">
        <f>F27-F28</f>
        <v>0</v>
      </c>
      <c r="M29" s="1059" t="s">
        <v>439</v>
      </c>
      <c r="N29" s="1060">
        <f>N21</f>
        <v>16803</v>
      </c>
      <c r="S29" s="61"/>
      <c r="T29" s="2764" t="s">
        <v>267</v>
      </c>
      <c r="U29" s="2657" t="s">
        <v>267</v>
      </c>
      <c r="V29" s="2657" t="s">
        <v>816</v>
      </c>
      <c r="W29" s="2657" t="s">
        <v>816</v>
      </c>
      <c r="X29" s="2671" t="s">
        <v>489</v>
      </c>
      <c r="Y29" s="2669" t="s">
        <v>490</v>
      </c>
      <c r="Z29" s="2657" t="s">
        <v>962</v>
      </c>
      <c r="AA29" s="2657" t="s">
        <v>962</v>
      </c>
      <c r="AF29" s="2340"/>
    </row>
    <row r="30" spans="1:32" ht="15.75" thickBot="1" x14ac:dyDescent="0.3">
      <c r="L30" s="5" t="s">
        <v>190</v>
      </c>
      <c r="M30" s="267" t="s">
        <v>268</v>
      </c>
      <c r="N30" s="731" t="s">
        <v>580</v>
      </c>
      <c r="O30" s="731" t="s">
        <v>81</v>
      </c>
      <c r="P30" s="272" t="s">
        <v>0</v>
      </c>
      <c r="Q30" s="60" t="str">
        <f>BGPartnerAP</f>
        <v>AP</v>
      </c>
      <c r="R30" s="60" t="str">
        <f>BGPartnerAG</f>
        <v>AG</v>
      </c>
      <c r="S30" s="1065" t="s">
        <v>114</v>
      </c>
      <c r="T30" s="2659"/>
      <c r="U30" s="2658"/>
      <c r="V30" s="2658"/>
      <c r="W30" s="2658"/>
      <c r="X30" s="2672"/>
      <c r="Y30" s="2670"/>
      <c r="Z30" s="2658"/>
      <c r="AA30" s="2658"/>
      <c r="AF30" s="2340"/>
    </row>
    <row r="31" spans="1:32" ht="15.75" thickBot="1" x14ac:dyDescent="0.3">
      <c r="C31" s="64" t="str">
        <f>BGPartnerAP</f>
        <v>AP</v>
      </c>
      <c r="E31" s="22" t="str">
        <f>BGPartnerAG</f>
        <v>AG</v>
      </c>
      <c r="L31" s="67">
        <v>1</v>
      </c>
      <c r="M31" s="759">
        <v>0</v>
      </c>
      <c r="N31" s="660">
        <v>37149</v>
      </c>
      <c r="O31" s="1558">
        <v>0.1903</v>
      </c>
      <c r="P31" s="223">
        <f>O31*(N31-1)</f>
        <v>7069.2644</v>
      </c>
      <c r="Q31" s="515" t="str">
        <f>IF(AND(C$5&gt;=$N$29,BGAOWLeeftijdBereikt_AP="Ja"),IF(AL94VerzInkomen_AP&gt;($N31-1),($N31-1)*$O31,AL94VerzInkomen_AP*$O31),"n.v.t")</f>
        <v>n.v.t</v>
      </c>
      <c r="R31" s="515" t="str">
        <f>IF(AND(D$5&gt;=$N$29,BGAOWLeeftijdBereikt_AG="Ja"),IF(AL94VerzInkomen_AG&gt;($N31-1),($N31-1)*$O31,AL94VerzInkomen_AG*$O31),"n.v.t")</f>
        <v>n.v.t</v>
      </c>
      <c r="S31" s="228" t="str">
        <f>L31&amp;": "&amp;M31&amp;" tot "&amp;N31&amp;" tarief: "&amp;(O31*100)&amp;"% - Max. "&amp;ROUND(P31,0)</f>
        <v>1: 0 tot 37149 tarief: 19,03% - Max. 7069</v>
      </c>
      <c r="T31" s="223" t="str">
        <f>IF(AND(C$5&gt;=$N$29,BGAOWLeeftijdBereikt_AP="Ja"),IF($T$5&gt;($N31-1),($N31-1)*$O31,$T$5*$O31),"n.v.t")</f>
        <v>n.v.t</v>
      </c>
      <c r="U31" s="515" t="str">
        <f>IF(AND(D$5&gt;=$N$29,BGAOWLeeftijdBereikt_AG="Ja"),IF($U$5&gt;($N31-1),($N31-1)*$O31,$U$5*$O31),"n.v.t")</f>
        <v>n.v.t</v>
      </c>
      <c r="V31" s="515" t="str">
        <f>IF(AND($C$5&gt;=$N$29,BGAOWLeeftijdBereikt_AP="Ja"),IF($V$5&gt;($N31-1),($N31-1)*$O31,$V$5*$O31),"n.v.t")</f>
        <v>n.v.t</v>
      </c>
      <c r="W31" s="1061" t="str">
        <f>IF(AND($D$5&gt;=$N$29,BGAOWLeeftijdBereikt_AG="Ja"),IF($W$5&gt;($N31-1),($N31-1)*$O31,$W$5*$O31),"n.v.t")</f>
        <v>n.v.t</v>
      </c>
      <c r="X31" s="520" t="str">
        <f>IF(AND(D$5&gt;=$N$29,BGAOWLeeftijdBereikt_AG="Ja"),IF($X$5&lt;M31,0,IF($X$5&gt;($N31-1)-SUM(P$31:P31),($N31-1)-P31,$X$5)),"n.v.t")</f>
        <v>n.v.t</v>
      </c>
      <c r="Y31" s="519" t="str">
        <f>IF(X31="n.v.t",X31,X31/(1-$O31))</f>
        <v>n.v.t</v>
      </c>
      <c r="Z31" s="223" t="str">
        <f>IF(AND($C$5&gt;=$N$29,BGAOWLeeftijdBereikt_AP="Ja"),IF($Z$5&gt;($N31-1),($N31-1)*$O31,$Z$5*$O31),"n.v.t")</f>
        <v>n.v.t</v>
      </c>
      <c r="AA31" s="515" t="str">
        <f>IF(AND($D$5&gt;=$N$29,BGAOWLeeftijdBereikt_AG="Ja"),IF($AA$5&gt;($N31-1),($N31-1)*$O31,$AA$5*$O31),"n.v.t")</f>
        <v>n.v.t</v>
      </c>
      <c r="AF31" s="2340"/>
    </row>
    <row r="32" spans="1:32" ht="15" customHeight="1" thickBot="1" x14ac:dyDescent="0.3">
      <c r="A32" s="44" t="s">
        <v>249</v>
      </c>
      <c r="B32" s="1035" t="s">
        <v>625</v>
      </c>
      <c r="C32" s="1034" t="s">
        <v>1</v>
      </c>
      <c r="D32" s="60" t="s">
        <v>98</v>
      </c>
      <c r="E32" s="60" t="s">
        <v>1</v>
      </c>
      <c r="F32" s="60" t="s">
        <v>318</v>
      </c>
      <c r="G32" s="2786" t="s">
        <v>215</v>
      </c>
      <c r="H32" s="2786"/>
      <c r="I32" s="2786"/>
      <c r="J32" s="2787"/>
      <c r="L32" s="29">
        <v>2</v>
      </c>
      <c r="M32" s="751">
        <f>N31</f>
        <v>37149</v>
      </c>
      <c r="N32" s="751">
        <v>73031</v>
      </c>
      <c r="O32" s="1559">
        <v>0.36930000000000002</v>
      </c>
      <c r="P32" s="225">
        <f>O32*(N32-N31)</f>
        <v>13251.222600000001</v>
      </c>
      <c r="Q32" s="516" t="str">
        <f>IF(AND(C$5&gt;=$N$29,BGAOWLeeftijdBereikt_AP="Ja"),IF(AL94VerzInkomen_AP&lt;$M32,0,IF(AL94VerzInkomen_AP&gt;$N32,($N32-$N31)*$O32,(AL94VerzInkomen_AP-$N31)*$O32)),"n.v.t")</f>
        <v>n.v.t</v>
      </c>
      <c r="R32" s="516" t="str">
        <f>IF(AND(D$5&gt;=$N$29,BGAOWLeeftijdBereikt_AG="Ja"),IF(AL94VerzInkomen_AG&lt;$M32,0,IF(AL94VerzInkomen_AG&gt;$N32,($N32-$N31)*$O32,(AL94VerzInkomen_AG-$N31)*$O32)),"n.v.t")</f>
        <v>n.v.t</v>
      </c>
      <c r="S32" s="229" t="str">
        <f>L32&amp;": "&amp;M32&amp;" tot "&amp;N32&amp;" tarief: "&amp;(O32*100)&amp;"% - Max. "&amp;ROUND(P32,0)</f>
        <v>2: 37149 tot 73031 tarief: 36,93% - Max. 13251</v>
      </c>
      <c r="T32" s="225" t="str">
        <f>IF(AND(C$5&gt;=$N$29,BGAOWLeeftijdBereikt_AP="Ja"),IF($T$5&lt;$M32,0,IF($T$5&gt;$N32,($N32-$N31)*$O32,($T$5-$N31)*$O32)),"n.v.t")</f>
        <v>n.v.t</v>
      </c>
      <c r="U32" s="516" t="str">
        <f>IF(AND(D$5&gt;=$N$29,BGAOWLeeftijdBereikt_AG="Ja"),IF($U$5&lt;$M32,0,IF($U$5&gt;$N32,($N32-$N31)*$O32,($U$5-$N31)*$O32)),"n.v.t")</f>
        <v>n.v.t</v>
      </c>
      <c r="V32" s="516" t="str">
        <f>IF(AND($C$5&gt;=$N$29,BGAOWLeeftijdBereikt_AP="Ja"),IF($V$5&lt;$M32,0,IF($V$5&gt;$N32,($N32-$N31)*$O32,($V$5-$N31)*$O32)),"n.v.t")</f>
        <v>n.v.t</v>
      </c>
      <c r="W32" s="1062" t="str">
        <f>IF(AND($D$5&gt;=$N$29,BGAOWLeeftijdBereikt_AG="Ja"),IF($W$5&lt;$M32,0,IF($W$5&gt;$N32,($N32-$N31)*$O32,($W$5-$N31)*$O32)),"n.v.t")</f>
        <v>n.v.t</v>
      </c>
      <c r="X32" s="518" t="str">
        <f>IF(AND(D$5&gt;=$N$29,BGAOWLeeftijdBereikt_AG="Ja"),IF($X$5&lt;M32-SUM(P$31:P31),0,IF($X$5&gt;N32-SUM(P$31:P32),N32-M32-P32,$X$5-SUM(X$31:X31))),"n.v.t")</f>
        <v>n.v.t</v>
      </c>
      <c r="Y32" s="516" t="str">
        <f>IF(X32="n.v.t",X32,X32/(1-$O32))</f>
        <v>n.v.t</v>
      </c>
      <c r="Z32" s="225" t="str">
        <f>IF(AND($C$5&gt;=$N$29,BGAOWLeeftijdBereikt_AP="Ja"),IF($Z$5&lt;$M32,0,IF($Z$5&gt;$N32,($N32-$N31)*$O32,($Z$5-$N31)*$O32)),"n.v.t")</f>
        <v>n.v.t</v>
      </c>
      <c r="AA32" s="516" t="str">
        <f>IF(AND($D$5&gt;=$N$29,BGAOWLeeftijdBereikt_AG="Ja"),IF($AA$5&lt;$M32,0,IF($AA$5&gt;$N32,($N32-$N31)*$O32,($AA$5-$N31)*$O32)),"n.v.t")</f>
        <v>n.v.t</v>
      </c>
      <c r="AF32" s="2340"/>
    </row>
    <row r="33" spans="1:32" ht="14.45" customHeight="1" thickBot="1" x14ac:dyDescent="0.3">
      <c r="A33" s="69">
        <v>60</v>
      </c>
      <c r="B33" s="1036" t="s">
        <v>1055</v>
      </c>
      <c r="C33" s="35">
        <v>0</v>
      </c>
      <c r="D33" s="1382">
        <f>C33</f>
        <v>0</v>
      </c>
      <c r="E33" s="35">
        <v>0</v>
      </c>
      <c r="F33" s="1382">
        <f>E33</f>
        <v>0</v>
      </c>
      <c r="G33" s="2732" t="s">
        <v>883</v>
      </c>
      <c r="H33" s="2732"/>
      <c r="I33" s="2732"/>
      <c r="J33" s="2733"/>
      <c r="L33" s="31">
        <v>3</v>
      </c>
      <c r="M33" s="770">
        <f>N32</f>
        <v>73031</v>
      </c>
      <c r="N33" s="770"/>
      <c r="O33" s="1560">
        <v>0.495</v>
      </c>
      <c r="P33" s="231">
        <f>IF(Q29&lt;M33,0,(Q29-Basisgegevens!N24)*Basisgegevens!O33)</f>
        <v>0</v>
      </c>
      <c r="Q33" s="517" t="str">
        <f>IF(AND(C$5&gt;=$N$29,BGAOWLeeftijdBereikt_AP="Ja"),IF(AL94VerzInkomen_AP&lt;$M33,0,(AL94VerzInkomen_AP-$N24)*$O33),"n.v.t")</f>
        <v>n.v.t</v>
      </c>
      <c r="R33" s="517" t="str">
        <f>IF(AND(D$5&gt;=$N$29,BGAOWLeeftijdBereikt_AG="Ja"),IF(AL94VerzInkomen_AG&lt;$M33,0,(AL94VerzInkomen_AG-$N24)*$O33),"n.v.t")</f>
        <v>n.v.t</v>
      </c>
      <c r="S33" s="230" t="str">
        <f>L33&amp;": vanaf "&amp;M33&amp;" tarief: "&amp;(O33*100)&amp;"%"</f>
        <v>3: vanaf 73031 tarief: 49,5%</v>
      </c>
      <c r="T33" s="231" t="str">
        <f>IF(AND(C$5&gt;=$N$29,BGAOWLeeftijdBereikt_AP="Ja"),IF($T$5&lt;$M33,0,($T$5-$N32)*$O33),"n.v.t")</f>
        <v>n.v.t</v>
      </c>
      <c r="U33" s="517" t="str">
        <f>IF(AND(D$5&gt;=$N$29,BGAOWLeeftijdBereikt_AG="Ja"),IF($U$5&lt;$M33,0,($U$5-$N32)*$O33),"n.v.t")</f>
        <v>n.v.t</v>
      </c>
      <c r="V33" s="517" t="str">
        <f>IF(AND($C$5&gt;=$N$29,BGAOWLeeftijdBereikt_AP="Ja"),IF($V$5&lt;$M33,0,($V$5-$N32)*$O33),"n.v.t")</f>
        <v>n.v.t</v>
      </c>
      <c r="W33" s="1063" t="str">
        <f>IF(AND($D$5&gt;=$N$29,BGAOWLeeftijdBereikt_AG="Ja"),IF($W$5&lt;$M33,0,($W$5-$N32)*$O33),"n.v.t")</f>
        <v>n.v.t</v>
      </c>
      <c r="X33" s="518" t="str">
        <f>IF(AND(D$5&gt;=$N$29,BGAOWLeeftijdBereikt_AG="Ja"),IF($X$5&lt;M33-SUM(P$31:P32),0,IF($X$5&gt;=M33-SUM(P$31:P32),$X$5-SUM(X$31:X32))),"n.v.t")</f>
        <v>n.v.t</v>
      </c>
      <c r="Y33" s="521" t="str">
        <f>IF(X33="n.v.t",X33,X33/(1-$O33))</f>
        <v>n.v.t</v>
      </c>
      <c r="Z33" s="231" t="str">
        <f>IF(AND($C$5&gt;=$N$29,BGAOWLeeftijdBereikt_AP="Ja"),IF($Z$5&lt;$M33,0,($Z$5-$N32)*$O33),"n.v.t")</f>
        <v>n.v.t</v>
      </c>
      <c r="AA33" s="517" t="str">
        <f>IF(AND($D$5&gt;=$N$29,BGAOWLeeftijdBereikt_AG="Ja"),IF($AA$5&lt;$M33,0,($AA$5-$N32)*$O33),"n.v.t")</f>
        <v>n.v.t</v>
      </c>
      <c r="AF33" s="2340"/>
    </row>
    <row r="34" spans="1:32" ht="15" customHeight="1" thickBot="1" x14ac:dyDescent="0.3">
      <c r="A34" s="174"/>
      <c r="B34" s="1056" t="s">
        <v>669</v>
      </c>
      <c r="C34" s="1037" t="s">
        <v>109</v>
      </c>
      <c r="D34" s="1038">
        <f>IF(C$34="Ja",D$29,0)</f>
        <v>0</v>
      </c>
      <c r="E34" s="1037" t="s">
        <v>109</v>
      </c>
      <c r="F34" s="1038">
        <f>IF(E$34="Ja",F$29,0)</f>
        <v>0</v>
      </c>
      <c r="G34" s="2734"/>
      <c r="H34" s="2734"/>
      <c r="I34" s="2734"/>
      <c r="J34" s="2735"/>
      <c r="O34" s="2676" t="s">
        <v>204</v>
      </c>
      <c r="P34" s="2725"/>
      <c r="Q34" s="427">
        <f>SUM(Q31:Q33)</f>
        <v>0</v>
      </c>
      <c r="R34" s="427">
        <f>SUM(R31:R33)</f>
        <v>0</v>
      </c>
      <c r="T34" s="523">
        <f t="shared" ref="T34:Y34" si="11">SUM(T31:T33)</f>
        <v>0</v>
      </c>
      <c r="U34" s="427">
        <f t="shared" si="11"/>
        <v>0</v>
      </c>
      <c r="V34" s="523">
        <f>SUM(V31:V33)</f>
        <v>0</v>
      </c>
      <c r="W34" s="427">
        <f>SUM(W31:W33)</f>
        <v>0</v>
      </c>
      <c r="X34" s="523">
        <f t="shared" si="11"/>
        <v>0</v>
      </c>
      <c r="Y34" s="427">
        <f t="shared" si="11"/>
        <v>0</v>
      </c>
      <c r="Z34" s="523">
        <f>SUM(Z31:Z33)</f>
        <v>0</v>
      </c>
      <c r="AA34" s="427">
        <f>SUM(AA31:AA33)</f>
        <v>0</v>
      </c>
      <c r="AF34" s="2340"/>
    </row>
    <row r="35" spans="1:32" ht="15.75" customHeight="1" thickBot="1" x14ac:dyDescent="0.3">
      <c r="A35" s="169">
        <v>60</v>
      </c>
      <c r="B35" s="682" t="s">
        <v>1056</v>
      </c>
      <c r="C35" s="959">
        <v>0</v>
      </c>
      <c r="D35" s="48">
        <f>C35</f>
        <v>0</v>
      </c>
      <c r="E35" s="959">
        <v>0</v>
      </c>
      <c r="F35" s="48">
        <f>E35</f>
        <v>0</v>
      </c>
      <c r="G35" s="26"/>
      <c r="H35" s="26"/>
      <c r="I35" s="26"/>
      <c r="J35" s="26"/>
      <c r="M35" s="2"/>
      <c r="N35" s="2"/>
      <c r="O35" s="61"/>
      <c r="P35" s="61"/>
      <c r="Q35" s="61"/>
      <c r="R35" s="61"/>
      <c r="S35" s="61"/>
      <c r="AF35" s="2340"/>
    </row>
    <row r="36" spans="1:32" ht="15.75" thickBot="1" x14ac:dyDescent="0.3">
      <c r="B36" s="1039" t="s">
        <v>622</v>
      </c>
      <c r="E36" s="21"/>
      <c r="F36" s="21"/>
      <c r="G36" s="26"/>
      <c r="H36" s="26"/>
      <c r="I36" s="26"/>
      <c r="J36" s="26"/>
      <c r="L36" s="24" t="s">
        <v>685</v>
      </c>
      <c r="N36" s="2"/>
      <c r="P36" s="25" t="s">
        <v>111</v>
      </c>
      <c r="R36" s="61"/>
      <c r="S36" s="61"/>
      <c r="T36" s="2657" t="s">
        <v>267</v>
      </c>
      <c r="U36" s="2767" t="s">
        <v>267</v>
      </c>
      <c r="V36" s="2657" t="s">
        <v>816</v>
      </c>
      <c r="W36" s="2765" t="s">
        <v>816</v>
      </c>
      <c r="X36" s="2764" t="s">
        <v>489</v>
      </c>
      <c r="Y36" s="2657" t="s">
        <v>490</v>
      </c>
      <c r="Z36" s="2657" t="s">
        <v>962</v>
      </c>
      <c r="AA36" s="2657" t="s">
        <v>962</v>
      </c>
      <c r="AF36" s="2340"/>
    </row>
    <row r="37" spans="1:32" ht="15.75" thickBot="1" x14ac:dyDescent="0.3">
      <c r="A37" s="166">
        <v>41</v>
      </c>
      <c r="B37" s="107" t="s">
        <v>626</v>
      </c>
      <c r="C37" s="64" t="str">
        <f>BGPartnerAP</f>
        <v>AP</v>
      </c>
      <c r="E37" s="22" t="str">
        <f>BGPartnerAG</f>
        <v>AG</v>
      </c>
      <c r="L37" s="5" t="s">
        <v>190</v>
      </c>
      <c r="M37" s="267" t="s">
        <v>268</v>
      </c>
      <c r="N37" s="6" t="s">
        <v>580</v>
      </c>
      <c r="O37" s="6" t="s">
        <v>81</v>
      </c>
      <c r="P37" s="272" t="s">
        <v>0</v>
      </c>
      <c r="Q37" s="22" t="str">
        <f>BGPartnerAP</f>
        <v>AP</v>
      </c>
      <c r="R37" s="22" t="str">
        <f>BGPartnerAG</f>
        <v>AG</v>
      </c>
      <c r="S37" s="1479" t="s">
        <v>114</v>
      </c>
      <c r="T37" s="2658"/>
      <c r="U37" s="2768"/>
      <c r="V37" s="2658"/>
      <c r="W37" s="2766"/>
      <c r="X37" s="2659"/>
      <c r="Y37" s="2658"/>
      <c r="Z37" s="2658"/>
      <c r="AA37" s="2659"/>
      <c r="AB37" s="44" t="s">
        <v>95</v>
      </c>
      <c r="AF37" s="2340"/>
    </row>
    <row r="38" spans="1:32" ht="15.75" thickBot="1" x14ac:dyDescent="0.3">
      <c r="B38" s="110" t="s">
        <v>94</v>
      </c>
      <c r="C38" s="45" t="s">
        <v>95</v>
      </c>
      <c r="D38" s="23" t="s">
        <v>94</v>
      </c>
      <c r="E38" s="45" t="s">
        <v>95</v>
      </c>
      <c r="F38" s="2" t="s">
        <v>896</v>
      </c>
      <c r="L38" s="67">
        <v>1</v>
      </c>
      <c r="M38" s="759">
        <v>0</v>
      </c>
      <c r="N38" s="759">
        <v>37149</v>
      </c>
      <c r="O38" s="1089">
        <v>0.1903</v>
      </c>
      <c r="P38" s="769">
        <f>O38*(N38-1)</f>
        <v>7069.2644</v>
      </c>
      <c r="Q38" s="515" t="str">
        <f t="shared" ref="Q38:Q49" si="12">IF(AND(BGAOWLeeftijdBereikt_AP="Ja",YEAR($C$9)=BGJaarBerekening,MONTH($C$9)=$AB38),IF(AL94VerzInkomen_AP&gt;($N38-1),($N38-1)*$O38,AL94VerzInkomen_AP*$O38),"n.v.t")</f>
        <v>n.v.t</v>
      </c>
      <c r="R38" s="515" t="str">
        <f t="shared" ref="R38:R49" si="13">IF(AND(BGAOWLeeftijdBereikt_AG="Ja",YEAR($D$9)=BGJaarBerekening,MONTH($D$9)=$AB38),IF(AL94VerzInkomen_AG&gt;($N38-1),($N38-1)*$O38,AL94VerzInkomen_AG*$O38),"n.v.t")</f>
        <v>n.v.t</v>
      </c>
      <c r="S38" s="224" t="str">
        <f>L38&amp;": "&amp;M38&amp;" tot "&amp;N38&amp;" tarief: "&amp;(O38*100)&amp;"% - Max. "&amp;ROUND(P38,0)</f>
        <v>1: 0 tot 37149 tarief: 19,03% - Max. 7069</v>
      </c>
      <c r="T38" s="515" t="str">
        <f t="shared" ref="T38:T49" si="14">IF(AND(BGAOWLeeftijdBereikt_AP="Ja",YEAR($C$9)=BGJaarBerekening,MONTH(C$9)=$AB38),IF($T$5&gt;($N38-1),($N38-1)*$O38,$T$5*$O38),"n.v.t")</f>
        <v>n.v.t</v>
      </c>
      <c r="U38" s="641" t="str">
        <f t="shared" ref="U38:U49" si="15">IF(AND(BGAOWLeeftijdBereikt_AG="Ja",YEAR($D$9)=BGJaarBerekening,MONTH(D$9)=$AB38),IF($U$5&gt;($N38-1),($N38-1)*$O38,$U$5*$O38),"n.v.t")</f>
        <v>n.v.t</v>
      </c>
      <c r="V38" s="515" t="str">
        <f t="shared" ref="V38:V49" si="16">IF(AND(BGAOWLeeftijdBereikt_AP="Ja",YEAR($C$9)=BGJaarBerekening,MONTH(H$9)=$AB38),IF($V$5&gt;($N38-1),($N38-1)*$O38,$V$5*$O38),"n.v.t")</f>
        <v>n.v.t</v>
      </c>
      <c r="W38" s="1061" t="str">
        <f t="shared" ref="W38:W49" si="17">IF(AND(BGAOWLeeftijdBereikt_AG="Ja",YEAR($D$9)=BGJaarBerekening,MONTH(I$9)=$AB38),IF($W$5&gt;($N38-1),($N38-1)*$O38,$W$5*$O38),"n.v.t")</f>
        <v>n.v.t</v>
      </c>
      <c r="X38" s="1468" t="str">
        <f t="shared" ref="X38:X49" si="18">IF(AND(BGAOWLeeftijdBereikt_AG="Ja",YEAR($D$9)=BGJaarBerekening,MONTH(D$9)=$AB38),IF($X$5&lt;=M38,0,IF($X$5&gt;($N38-1)-P38,($N38-1)-P38,$X$5)),"n.v.t")</f>
        <v>n.v.t</v>
      </c>
      <c r="Y38" s="515" t="str">
        <f t="shared" ref="Y38:Y51" si="19">IF(X38="n.v.t",X38,X38/(1-$O38))</f>
        <v>n.v.t</v>
      </c>
      <c r="Z38" s="515" t="str">
        <f t="shared" ref="Z38:Z49" si="20">IF(AND(BGAOWLeeftijdBereikt_AP="Ja",YEAR($C$9)=BGJaarBerekening,MONTH(I$9)=$AB38),IF($Z$5&gt;($N38-1),($N38-1)*$O38,$Z$5*$O38),"n.v.t")</f>
        <v>n.v.t</v>
      </c>
      <c r="AA38" s="641" t="str">
        <f t="shared" ref="AA38:AA49" si="21">IF(AND(BGAOWLeeftijdBereikt_AG="Ja",YEAR($D$9)=BGJaarBerekening,MONTH(J$9)=$AB38),IF($AA$5&gt;($N38-1),($N38-1)*$O38,$AA$5*$O38),"n.v.t")</f>
        <v>n.v.t</v>
      </c>
      <c r="AB38" s="28">
        <v>1</v>
      </c>
      <c r="AF38" s="2340"/>
    </row>
    <row r="39" spans="1:32" ht="15.75" thickBot="1" x14ac:dyDescent="0.3">
      <c r="A39" s="9" t="s">
        <v>249</v>
      </c>
      <c r="B39" s="111" t="s">
        <v>74</v>
      </c>
      <c r="C39" s="22" t="str">
        <f>IF(C38="Maand","Maandloon",IF(C38="4 Weken","4-Wekenloon",IF(C38="Week","Weekloon",IF(C38="Anders","Anders",""))))</f>
        <v>Maandloon</v>
      </c>
      <c r="D39" s="22" t="s">
        <v>703</v>
      </c>
      <c r="E39" s="22" t="str">
        <f>IF(E38="Maand","Maandloon",IF(E38="4 Weken","4-Wekenloon",IF(E38="Week","Weekloon",IF(E38="Anders","Anders",""))))</f>
        <v>Maandloon</v>
      </c>
      <c r="F39" s="22" t="s">
        <v>703</v>
      </c>
      <c r="G39" s="2726" t="s">
        <v>215</v>
      </c>
      <c r="H39" s="2727"/>
      <c r="I39" s="2727"/>
      <c r="J39" s="2728"/>
      <c r="L39" s="29">
        <v>1</v>
      </c>
      <c r="M39" s="739">
        <v>0</v>
      </c>
      <c r="N39" s="751">
        <f t="shared" ref="N39:N49" si="22">N38</f>
        <v>37149</v>
      </c>
      <c r="O39" s="792">
        <v>0.20519999999999999</v>
      </c>
      <c r="P39" s="1478">
        <f t="shared" ref="P39:P49" si="23">O39*(N39-1)</f>
        <v>7622.7695999999996</v>
      </c>
      <c r="Q39" s="516" t="str">
        <f t="shared" si="12"/>
        <v>n.v.t</v>
      </c>
      <c r="R39" s="516" t="str">
        <f t="shared" si="13"/>
        <v>n.v.t</v>
      </c>
      <c r="S39" s="226" t="str">
        <f t="shared" ref="S39:S49" si="24">L39&amp;": "&amp;M39&amp;" tot "&amp;N39&amp;" tarief: "&amp;(O39*100)&amp;"% - Max. "&amp;ROUND(P39,0)</f>
        <v>1: 0 tot 37149 tarief: 20,52% - Max. 7623</v>
      </c>
      <c r="T39" s="516" t="str">
        <f t="shared" si="14"/>
        <v>n.v.t</v>
      </c>
      <c r="U39" s="642" t="str">
        <f t="shared" si="15"/>
        <v>n.v.t</v>
      </c>
      <c r="V39" s="516" t="str">
        <f t="shared" si="16"/>
        <v>n.v.t</v>
      </c>
      <c r="W39" s="1062" t="str">
        <f t="shared" si="17"/>
        <v>n.v.t</v>
      </c>
      <c r="X39" s="520" t="str">
        <f t="shared" si="18"/>
        <v>n.v.t</v>
      </c>
      <c r="Y39" s="519" t="str">
        <f t="shared" si="19"/>
        <v>n.v.t</v>
      </c>
      <c r="Z39" s="516" t="str">
        <f t="shared" si="20"/>
        <v>n.v.t</v>
      </c>
      <c r="AA39" s="642" t="str">
        <f t="shared" si="21"/>
        <v>n.v.t</v>
      </c>
      <c r="AB39" s="69">
        <v>2</v>
      </c>
      <c r="AF39" s="2340"/>
    </row>
    <row r="40" spans="1:32" x14ac:dyDescent="0.25">
      <c r="A40" s="70"/>
      <c r="B40" s="167" t="s">
        <v>75</v>
      </c>
      <c r="C40" s="236">
        <v>0</v>
      </c>
      <c r="D40" s="333">
        <f>IF(BG60Jaaropgave1_AP&lt;&gt;0,"zie jaarloon (60)",IF(C$38="Maand",C40*12,IF(C$38="4 Weken",C40*13,IF(C$38="Week",C40*52,0))))</f>
        <v>0</v>
      </c>
      <c r="E40" s="236">
        <v>0</v>
      </c>
      <c r="F40" s="1166">
        <f>IF(BG60Jaaropgave1_AG&lt;&gt;0,"zie jaarloon (60)",IF(E$38="Maand",E40*12,IF(E$38="4 Weken",E40*13,IF(E$38="Week",E40*52,0))))</f>
        <v>0</v>
      </c>
      <c r="G40" s="2729" t="s">
        <v>422</v>
      </c>
      <c r="H40" s="2730"/>
      <c r="I40" s="2730"/>
      <c r="J40" s="2731"/>
      <c r="L40" s="29">
        <v>1</v>
      </c>
      <c r="M40" s="739">
        <v>0</v>
      </c>
      <c r="N40" s="751">
        <f>N39</f>
        <v>37149</v>
      </c>
      <c r="O40" s="792">
        <v>0.22009999999999999</v>
      </c>
      <c r="P40" s="1478">
        <f t="shared" si="23"/>
        <v>8176.2747999999992</v>
      </c>
      <c r="Q40" s="516" t="str">
        <f t="shared" si="12"/>
        <v>n.v.t</v>
      </c>
      <c r="R40" s="516" t="str">
        <f t="shared" si="13"/>
        <v>n.v.t</v>
      </c>
      <c r="S40" s="226" t="str">
        <f t="shared" si="24"/>
        <v>1: 0 tot 37149 tarief: 22,01% - Max. 8176</v>
      </c>
      <c r="T40" s="516" t="str">
        <f t="shared" si="14"/>
        <v>n.v.t</v>
      </c>
      <c r="U40" s="642" t="str">
        <f t="shared" si="15"/>
        <v>n.v.t</v>
      </c>
      <c r="V40" s="516" t="str">
        <f t="shared" si="16"/>
        <v>n.v.t</v>
      </c>
      <c r="W40" s="1062" t="str">
        <f t="shared" si="17"/>
        <v>n.v.t</v>
      </c>
      <c r="X40" s="520" t="str">
        <f t="shared" si="18"/>
        <v>n.v.t</v>
      </c>
      <c r="Y40" s="519" t="str">
        <f t="shared" si="19"/>
        <v>n.v.t</v>
      </c>
      <c r="Z40" s="516" t="str">
        <f t="shared" si="20"/>
        <v>n.v.t</v>
      </c>
      <c r="AA40" s="642" t="str">
        <f t="shared" si="21"/>
        <v>n.v.t</v>
      </c>
      <c r="AB40" s="69">
        <v>3</v>
      </c>
      <c r="AF40" s="2340"/>
    </row>
    <row r="41" spans="1:32" x14ac:dyDescent="0.25">
      <c r="A41" s="69"/>
      <c r="B41" s="154" t="s">
        <v>76</v>
      </c>
      <c r="C41" s="36">
        <v>0</v>
      </c>
      <c r="D41" s="330">
        <f>IF(BG60Jaaropgave1_AP&lt;&gt;0,"zie jaarloon (60)",IF(C$38="Maand",C41*12,IF(C$38="4 Weken",C41*13,IF(C$38="Week",C41*52,0))))</f>
        <v>0</v>
      </c>
      <c r="E41" s="36">
        <v>0</v>
      </c>
      <c r="F41" s="1167">
        <f>IF(BG60Jaaropgave1_AG&lt;&gt;0,"zie jaarloon (60)",IF(E$38="Maand",E41*12,IF(E$38="4 Weken",E41*13,IF(E$38="Week",E41*52,0))))</f>
        <v>0</v>
      </c>
      <c r="G41" s="2717" t="s">
        <v>422</v>
      </c>
      <c r="H41" s="2718"/>
      <c r="I41" s="2718"/>
      <c r="J41" s="2719"/>
      <c r="L41" s="29">
        <v>1</v>
      </c>
      <c r="M41" s="739">
        <v>0</v>
      </c>
      <c r="N41" s="751">
        <f t="shared" si="22"/>
        <v>37149</v>
      </c>
      <c r="O41" s="792">
        <v>0.2351</v>
      </c>
      <c r="P41" s="1478">
        <f t="shared" si="23"/>
        <v>8733.4948000000004</v>
      </c>
      <c r="Q41" s="516" t="str">
        <f t="shared" si="12"/>
        <v>n.v.t</v>
      </c>
      <c r="R41" s="516" t="str">
        <f t="shared" si="13"/>
        <v>n.v.t</v>
      </c>
      <c r="S41" s="226" t="str">
        <f t="shared" si="24"/>
        <v>1: 0 tot 37149 tarief: 23,51% - Max. 8733</v>
      </c>
      <c r="T41" s="516" t="str">
        <f t="shared" si="14"/>
        <v>n.v.t</v>
      </c>
      <c r="U41" s="642" t="str">
        <f t="shared" si="15"/>
        <v>n.v.t</v>
      </c>
      <c r="V41" s="516" t="str">
        <f t="shared" si="16"/>
        <v>n.v.t</v>
      </c>
      <c r="W41" s="1062" t="str">
        <f t="shared" si="17"/>
        <v>n.v.t</v>
      </c>
      <c r="X41" s="520" t="str">
        <f t="shared" si="18"/>
        <v>n.v.t</v>
      </c>
      <c r="Y41" s="519" t="str">
        <f t="shared" si="19"/>
        <v>n.v.t</v>
      </c>
      <c r="Z41" s="516" t="str">
        <f t="shared" si="20"/>
        <v>n.v.t</v>
      </c>
      <c r="AA41" s="642" t="str">
        <f t="shared" si="21"/>
        <v>n.v.t</v>
      </c>
      <c r="AB41" s="69">
        <v>4</v>
      </c>
      <c r="AF41" s="2340"/>
    </row>
    <row r="42" spans="1:32" ht="15.75" thickBot="1" x14ac:dyDescent="0.3">
      <c r="A42" s="174"/>
      <c r="B42" s="168" t="s">
        <v>578</v>
      </c>
      <c r="C42" s="237">
        <v>0</v>
      </c>
      <c r="D42" s="331">
        <f>IF(BG60Jaaropgave1_AP&lt;&gt;0,"zie jaarloon (60)",IF(C$38="Maand",C42*12,IF(C$38="4 Weken",C42*13,IF(C$38="Week",C42*52,0))))</f>
        <v>0</v>
      </c>
      <c r="E42" s="237">
        <v>0</v>
      </c>
      <c r="F42" s="1168">
        <f>IF(BG60Jaaropgave1_AG&lt;&gt;0,"zie jaarloon (60)",IF(E$38="Maand",E42*12,IF(E$38="4 Weken",E42*13,IF(E$38="Week",E42*52,0))))</f>
        <v>0</v>
      </c>
      <c r="G42" s="2717" t="s">
        <v>421</v>
      </c>
      <c r="H42" s="2718"/>
      <c r="I42" s="2718"/>
      <c r="J42" s="2719"/>
      <c r="L42" s="29">
        <v>1</v>
      </c>
      <c r="M42" s="739">
        <v>0</v>
      </c>
      <c r="N42" s="751">
        <f t="shared" si="22"/>
        <v>37149</v>
      </c>
      <c r="O42" s="792">
        <v>0.25</v>
      </c>
      <c r="P42" s="1478">
        <f t="shared" si="23"/>
        <v>9287</v>
      </c>
      <c r="Q42" s="516" t="str">
        <f t="shared" si="12"/>
        <v>n.v.t</v>
      </c>
      <c r="R42" s="516" t="str">
        <f t="shared" si="13"/>
        <v>n.v.t</v>
      </c>
      <c r="S42" s="226" t="str">
        <f t="shared" si="24"/>
        <v>1: 0 tot 37149 tarief: 25% - Max. 9287</v>
      </c>
      <c r="T42" s="516" t="str">
        <f t="shared" si="14"/>
        <v>n.v.t</v>
      </c>
      <c r="U42" s="642" t="str">
        <f t="shared" si="15"/>
        <v>n.v.t</v>
      </c>
      <c r="V42" s="516" t="str">
        <f t="shared" si="16"/>
        <v>n.v.t</v>
      </c>
      <c r="W42" s="1062" t="str">
        <f t="shared" si="17"/>
        <v>n.v.t</v>
      </c>
      <c r="X42" s="520" t="str">
        <f t="shared" si="18"/>
        <v>n.v.t</v>
      </c>
      <c r="Y42" s="519" t="str">
        <f t="shared" si="19"/>
        <v>n.v.t</v>
      </c>
      <c r="Z42" s="516" t="str">
        <f t="shared" si="20"/>
        <v>n.v.t</v>
      </c>
      <c r="AA42" s="642" t="str">
        <f t="shared" si="21"/>
        <v>n.v.t</v>
      </c>
      <c r="AB42" s="69">
        <v>5</v>
      </c>
      <c r="AF42" s="2340"/>
    </row>
    <row r="43" spans="1:32" ht="15.75" thickBot="1" x14ac:dyDescent="0.3">
      <c r="A43" s="169">
        <v>41</v>
      </c>
      <c r="B43" s="114" t="s">
        <v>333</v>
      </c>
      <c r="C43" s="58">
        <f>SUM(C40:C42)</f>
        <v>0</v>
      </c>
      <c r="D43" s="58">
        <f>IF(BG60Jaaropgave1_AP&lt;&gt;0,"zie jaarloon (60)",SUM(D40:D42))</f>
        <v>0</v>
      </c>
      <c r="E43" s="58">
        <f>SUM(E40:E42)</f>
        <v>0</v>
      </c>
      <c r="F43" s="681">
        <f>SUM(F40:F42)</f>
        <v>0</v>
      </c>
      <c r="G43" s="2717"/>
      <c r="H43" s="2718"/>
      <c r="I43" s="2718"/>
      <c r="J43" s="2719"/>
      <c r="L43" s="29">
        <v>1</v>
      </c>
      <c r="M43" s="739">
        <v>0</v>
      </c>
      <c r="N43" s="751">
        <f t="shared" si="22"/>
        <v>37149</v>
      </c>
      <c r="O43" s="792">
        <v>0.26490000000000002</v>
      </c>
      <c r="P43" s="1478">
        <f t="shared" si="23"/>
        <v>9840.5052000000014</v>
      </c>
      <c r="Q43" s="516" t="str">
        <f t="shared" si="12"/>
        <v>n.v.t</v>
      </c>
      <c r="R43" s="516" t="str">
        <f t="shared" si="13"/>
        <v>n.v.t</v>
      </c>
      <c r="S43" s="226" t="str">
        <f t="shared" si="24"/>
        <v>1: 0 tot 37149 tarief: 26,49% - Max. 9841</v>
      </c>
      <c r="T43" s="516" t="str">
        <f t="shared" si="14"/>
        <v>n.v.t</v>
      </c>
      <c r="U43" s="642" t="str">
        <f t="shared" si="15"/>
        <v>n.v.t</v>
      </c>
      <c r="V43" s="516" t="str">
        <f t="shared" si="16"/>
        <v>n.v.t</v>
      </c>
      <c r="W43" s="1062" t="str">
        <f t="shared" si="17"/>
        <v>n.v.t</v>
      </c>
      <c r="X43" s="520" t="str">
        <f t="shared" si="18"/>
        <v>n.v.t</v>
      </c>
      <c r="Y43" s="519" t="str">
        <f t="shared" si="19"/>
        <v>n.v.t</v>
      </c>
      <c r="Z43" s="516" t="str">
        <f t="shared" si="20"/>
        <v>n.v.t</v>
      </c>
      <c r="AA43" s="642" t="str">
        <f t="shared" si="21"/>
        <v>n.v.t</v>
      </c>
      <c r="AB43" s="69">
        <v>6</v>
      </c>
      <c r="AF43" s="2340"/>
    </row>
    <row r="44" spans="1:32" x14ac:dyDescent="0.25">
      <c r="A44" s="283">
        <v>46</v>
      </c>
      <c r="B44" s="352" t="s">
        <v>352</v>
      </c>
      <c r="C44" s="236">
        <v>0</v>
      </c>
      <c r="D44" s="333">
        <f>IF(BG60Jaaropgave1_AP&lt;&gt;0,"zie jaarloon (60)",IF(C$38="Maand",C44*12,IF(C$38="4 Weken",C44*13,IF(C$38="Week",C44*52,0))))</f>
        <v>0</v>
      </c>
      <c r="E44" s="236">
        <v>0</v>
      </c>
      <c r="F44" s="1166">
        <f>IF(BG60Jaaropgave1_AG&lt;&gt;0,"zie jaarloon (60)",IF(E$38="Maand",E44*12,IF(E$38="4 Weken",E44*13,IF(E$38="Week",E44*52,0))))</f>
        <v>0</v>
      </c>
      <c r="G44" s="2717" t="s">
        <v>420</v>
      </c>
      <c r="H44" s="2718"/>
      <c r="I44" s="2718"/>
      <c r="J44" s="2719"/>
      <c r="L44" s="29">
        <v>1</v>
      </c>
      <c r="M44" s="739">
        <v>0</v>
      </c>
      <c r="N44" s="751">
        <f t="shared" si="22"/>
        <v>37149</v>
      </c>
      <c r="O44" s="792">
        <v>0.27979999999999999</v>
      </c>
      <c r="P44" s="1478">
        <f t="shared" si="23"/>
        <v>10394.010399999999</v>
      </c>
      <c r="Q44" s="516" t="str">
        <f t="shared" si="12"/>
        <v>n.v.t</v>
      </c>
      <c r="R44" s="516" t="str">
        <f t="shared" si="13"/>
        <v>n.v.t</v>
      </c>
      <c r="S44" s="226" t="str">
        <f t="shared" si="24"/>
        <v>1: 0 tot 37149 tarief: 27,98% - Max. 10394</v>
      </c>
      <c r="T44" s="516" t="str">
        <f t="shared" si="14"/>
        <v>n.v.t</v>
      </c>
      <c r="U44" s="642" t="str">
        <f t="shared" si="15"/>
        <v>n.v.t</v>
      </c>
      <c r="V44" s="516" t="str">
        <f t="shared" si="16"/>
        <v>n.v.t</v>
      </c>
      <c r="W44" s="1062" t="str">
        <f t="shared" si="17"/>
        <v>n.v.t</v>
      </c>
      <c r="X44" s="520" t="str">
        <f t="shared" si="18"/>
        <v>n.v.t</v>
      </c>
      <c r="Y44" s="519" t="str">
        <f t="shared" si="19"/>
        <v>n.v.t</v>
      </c>
      <c r="Z44" s="516" t="str">
        <f t="shared" si="20"/>
        <v>n.v.t</v>
      </c>
      <c r="AA44" s="642" t="str">
        <f t="shared" si="21"/>
        <v>n.v.t</v>
      </c>
      <c r="AB44" s="69">
        <v>7</v>
      </c>
      <c r="AF44" s="2340"/>
    </row>
    <row r="45" spans="1:32" x14ac:dyDescent="0.25">
      <c r="A45" s="283">
        <v>44</v>
      </c>
      <c r="B45" s="348" t="s">
        <v>334</v>
      </c>
      <c r="C45" s="349">
        <v>0.08</v>
      </c>
      <c r="D45" s="330">
        <f>IF(BG60Jaaropgave1_AP&lt;&gt;0,"zie jaarloon (60)",C45*(D40+D41+D44))</f>
        <v>0</v>
      </c>
      <c r="E45" s="349">
        <v>0.08</v>
      </c>
      <c r="F45" s="1167">
        <f>IF(BG60Jaaropgave1_AG&lt;&gt;0,"zie jaarloon (60)",E45*(F40+F41+F44))</f>
        <v>0</v>
      </c>
      <c r="G45" s="2717" t="s">
        <v>700</v>
      </c>
      <c r="H45" s="2718"/>
      <c r="I45" s="2718"/>
      <c r="J45" s="2719"/>
      <c r="L45" s="29">
        <v>1</v>
      </c>
      <c r="M45" s="739">
        <v>0</v>
      </c>
      <c r="N45" s="751">
        <f>N44</f>
        <v>37149</v>
      </c>
      <c r="O45" s="792">
        <v>0.29470000000000002</v>
      </c>
      <c r="P45" s="1478">
        <f t="shared" si="23"/>
        <v>10947.515600000001</v>
      </c>
      <c r="Q45" s="516" t="str">
        <f t="shared" si="12"/>
        <v>n.v.t</v>
      </c>
      <c r="R45" s="516" t="str">
        <f t="shared" si="13"/>
        <v>n.v.t</v>
      </c>
      <c r="S45" s="226" t="str">
        <f t="shared" si="24"/>
        <v>1: 0 tot 37149 tarief: 29,47% - Max. 10948</v>
      </c>
      <c r="T45" s="516" t="str">
        <f t="shared" si="14"/>
        <v>n.v.t</v>
      </c>
      <c r="U45" s="642" t="str">
        <f t="shared" si="15"/>
        <v>n.v.t</v>
      </c>
      <c r="V45" s="516" t="str">
        <f t="shared" si="16"/>
        <v>n.v.t</v>
      </c>
      <c r="W45" s="1062" t="str">
        <f t="shared" si="17"/>
        <v>n.v.t</v>
      </c>
      <c r="X45" s="520" t="str">
        <f t="shared" si="18"/>
        <v>n.v.t</v>
      </c>
      <c r="Y45" s="519" t="str">
        <f t="shared" si="19"/>
        <v>n.v.t</v>
      </c>
      <c r="Z45" s="516" t="str">
        <f t="shared" si="20"/>
        <v>n.v.t</v>
      </c>
      <c r="AA45" s="642" t="str">
        <f t="shared" si="21"/>
        <v>n.v.t</v>
      </c>
      <c r="AB45" s="69">
        <v>8</v>
      </c>
      <c r="AF45" s="2340"/>
    </row>
    <row r="46" spans="1:32" x14ac:dyDescent="0.25">
      <c r="A46" s="283"/>
      <c r="B46" s="348" t="s">
        <v>577</v>
      </c>
      <c r="C46" s="100" t="s">
        <v>110</v>
      </c>
      <c r="D46" s="684"/>
      <c r="E46" s="100" t="s">
        <v>110</v>
      </c>
      <c r="F46" s="1169"/>
      <c r="G46" s="2717"/>
      <c r="H46" s="2718"/>
      <c r="I46" s="2718"/>
      <c r="J46" s="2719"/>
      <c r="L46" s="29">
        <v>1</v>
      </c>
      <c r="M46" s="739">
        <v>0</v>
      </c>
      <c r="N46" s="751">
        <f t="shared" si="22"/>
        <v>37149</v>
      </c>
      <c r="O46" s="792">
        <v>0.30959999999999999</v>
      </c>
      <c r="P46" s="1478">
        <f t="shared" si="23"/>
        <v>11501.0208</v>
      </c>
      <c r="Q46" s="516" t="str">
        <f t="shared" si="12"/>
        <v>n.v.t</v>
      </c>
      <c r="R46" s="516" t="str">
        <f t="shared" si="13"/>
        <v>n.v.t</v>
      </c>
      <c r="S46" s="226" t="str">
        <f t="shared" si="24"/>
        <v>1: 0 tot 37149 tarief: 30,96% - Max. 11501</v>
      </c>
      <c r="T46" s="516" t="str">
        <f t="shared" si="14"/>
        <v>n.v.t</v>
      </c>
      <c r="U46" s="642" t="str">
        <f t="shared" si="15"/>
        <v>n.v.t</v>
      </c>
      <c r="V46" s="516" t="str">
        <f t="shared" si="16"/>
        <v>n.v.t</v>
      </c>
      <c r="W46" s="1062" t="str">
        <f t="shared" si="17"/>
        <v>n.v.t</v>
      </c>
      <c r="X46" s="520" t="str">
        <f t="shared" si="18"/>
        <v>n.v.t</v>
      </c>
      <c r="Y46" s="519" t="str">
        <f t="shared" si="19"/>
        <v>n.v.t</v>
      </c>
      <c r="Z46" s="516" t="str">
        <f t="shared" si="20"/>
        <v>n.v.t</v>
      </c>
      <c r="AA46" s="642" t="str">
        <f t="shared" si="21"/>
        <v>n.v.t</v>
      </c>
      <c r="AB46" s="69">
        <v>9</v>
      </c>
      <c r="AF46" s="2340"/>
    </row>
    <row r="47" spans="1:32" x14ac:dyDescent="0.25">
      <c r="A47" s="282">
        <v>47</v>
      </c>
      <c r="B47" s="348" t="s">
        <v>624</v>
      </c>
      <c r="C47" s="36">
        <v>0</v>
      </c>
      <c r="D47" s="330">
        <f>IF(BG60Jaaropgave1_AP&lt;&gt;0,"zie jaarloon (60)",IF(C$38="Anders",0,C47))</f>
        <v>0</v>
      </c>
      <c r="E47" s="36">
        <v>0</v>
      </c>
      <c r="F47" s="1167">
        <f>IF(BG60Jaaropgave1_AG&lt;&gt;0,"zie jaarloon (60)",IF(E$38="Anders",0,E47))</f>
        <v>0</v>
      </c>
      <c r="G47" s="2717"/>
      <c r="H47" s="2718"/>
      <c r="I47" s="2718"/>
      <c r="J47" s="2719"/>
      <c r="L47" s="29">
        <v>1</v>
      </c>
      <c r="M47" s="739">
        <v>0</v>
      </c>
      <c r="N47" s="751">
        <f t="shared" si="22"/>
        <v>37149</v>
      </c>
      <c r="O47" s="792">
        <v>0.3246</v>
      </c>
      <c r="P47" s="1478">
        <f t="shared" si="23"/>
        <v>12058.2408</v>
      </c>
      <c r="Q47" s="516" t="str">
        <f t="shared" si="12"/>
        <v>n.v.t</v>
      </c>
      <c r="R47" s="516" t="str">
        <f t="shared" si="13"/>
        <v>n.v.t</v>
      </c>
      <c r="S47" s="226" t="str">
        <f t="shared" si="24"/>
        <v>1: 0 tot 37149 tarief: 32,46% - Max. 12058</v>
      </c>
      <c r="T47" s="516" t="str">
        <f t="shared" si="14"/>
        <v>n.v.t</v>
      </c>
      <c r="U47" s="642" t="str">
        <f t="shared" si="15"/>
        <v>n.v.t</v>
      </c>
      <c r="V47" s="516" t="str">
        <f t="shared" si="16"/>
        <v>n.v.t</v>
      </c>
      <c r="W47" s="1062" t="str">
        <f t="shared" si="17"/>
        <v>n.v.t</v>
      </c>
      <c r="X47" s="520" t="str">
        <f t="shared" si="18"/>
        <v>n.v.t</v>
      </c>
      <c r="Y47" s="519" t="str">
        <f t="shared" si="19"/>
        <v>n.v.t</v>
      </c>
      <c r="Z47" s="516" t="str">
        <f t="shared" si="20"/>
        <v>n.v.t</v>
      </c>
      <c r="AA47" s="642" t="str">
        <f t="shared" si="21"/>
        <v>n.v.t</v>
      </c>
      <c r="AB47" s="69">
        <v>10</v>
      </c>
      <c r="AF47" s="2340"/>
    </row>
    <row r="48" spans="1:32" x14ac:dyDescent="0.25">
      <c r="A48" s="335">
        <v>48</v>
      </c>
      <c r="B48" s="350" t="s">
        <v>335</v>
      </c>
      <c r="C48" s="1512">
        <v>0</v>
      </c>
      <c r="D48" s="331">
        <f>IF(BG60Jaaropgave1_AP&lt;&gt;0,"zie jaarloon (60)",IF(C46="Ja",(D40+D45)*C48,D40*C48))</f>
        <v>0</v>
      </c>
      <c r="E48" s="1512">
        <v>0</v>
      </c>
      <c r="F48" s="1168">
        <f>IF(BG60Jaaropgave1_AG&lt;&gt;0,"zie jaarloon (60)",IF(E46="Ja",(F40+F45)*E48,F40*E48))</f>
        <v>0</v>
      </c>
      <c r="G48" s="2717" t="s">
        <v>700</v>
      </c>
      <c r="H48" s="2718"/>
      <c r="I48" s="2718"/>
      <c r="J48" s="2719"/>
      <c r="L48" s="29">
        <v>1</v>
      </c>
      <c r="M48" s="739">
        <v>0</v>
      </c>
      <c r="N48" s="751">
        <f t="shared" si="22"/>
        <v>37149</v>
      </c>
      <c r="O48" s="792">
        <v>0.33950000000000002</v>
      </c>
      <c r="P48" s="1478">
        <f t="shared" si="23"/>
        <v>12611.746000000001</v>
      </c>
      <c r="Q48" s="516" t="str">
        <f t="shared" si="12"/>
        <v>n.v.t</v>
      </c>
      <c r="R48" s="516" t="str">
        <f t="shared" si="13"/>
        <v>n.v.t</v>
      </c>
      <c r="S48" s="226" t="str">
        <f t="shared" si="24"/>
        <v>1: 0 tot 37149 tarief: 33,95% - Max. 12612</v>
      </c>
      <c r="T48" s="516" t="str">
        <f t="shared" si="14"/>
        <v>n.v.t</v>
      </c>
      <c r="U48" s="642" t="str">
        <f t="shared" si="15"/>
        <v>n.v.t</v>
      </c>
      <c r="V48" s="516" t="str">
        <f t="shared" si="16"/>
        <v>n.v.t</v>
      </c>
      <c r="W48" s="1062" t="str">
        <f t="shared" si="17"/>
        <v>n.v.t</v>
      </c>
      <c r="X48" s="520" t="str">
        <f t="shared" si="18"/>
        <v>n.v.t</v>
      </c>
      <c r="Y48" s="519" t="str">
        <f t="shared" si="19"/>
        <v>n.v.t</v>
      </c>
      <c r="Z48" s="516" t="str">
        <f t="shared" si="20"/>
        <v>n.v.t</v>
      </c>
      <c r="AA48" s="642" t="str">
        <f t="shared" si="21"/>
        <v>n.v.t</v>
      </c>
      <c r="AB48" s="69">
        <v>11</v>
      </c>
      <c r="AF48" s="2340"/>
    </row>
    <row r="49" spans="1:32" ht="15.75" thickBot="1" x14ac:dyDescent="0.3">
      <c r="A49" s="335" t="s">
        <v>706</v>
      </c>
      <c r="B49" s="350" t="str">
        <f>"Individueel keuze budget (IKB/PKB), vul % per "&amp;LOWER(C38)&amp;" in"</f>
        <v>Individueel keuze budget (IKB/PKB), vul % per maand in</v>
      </c>
      <c r="C49" s="351">
        <v>0</v>
      </c>
      <c r="D49" s="331">
        <f>IF(BG60Jaaropgave1_AP&lt;&gt;0,"zie jaarloon (60)",IF(C$38="Maand",D40*C49*12,IF(C$38="4 Weken",D40*C49*13,IF(C$38="Week",D40*C49*52,0))))</f>
        <v>0</v>
      </c>
      <c r="E49" s="351">
        <v>0</v>
      </c>
      <c r="F49" s="331">
        <f>IF(BG60Jaaropgave1_AG&lt;&gt;0,"zie jaarloon (60)",IF(E$38="Maand",F40*E49*12,IF(E$38="4 Weken",F40*E49*13,IF(E$38="Week",F40*E49*52,0))))</f>
        <v>0</v>
      </c>
      <c r="G49" s="2717" t="s">
        <v>699</v>
      </c>
      <c r="H49" s="2718"/>
      <c r="I49" s="2718"/>
      <c r="J49" s="2719"/>
      <c r="L49" s="31">
        <v>1</v>
      </c>
      <c r="M49" s="771">
        <v>0</v>
      </c>
      <c r="N49" s="770">
        <f t="shared" si="22"/>
        <v>37149</v>
      </c>
      <c r="O49" s="772">
        <v>0.35439999999999999</v>
      </c>
      <c r="P49" s="773">
        <f t="shared" si="23"/>
        <v>13165.251200000001</v>
      </c>
      <c r="Q49" s="517" t="str">
        <f t="shared" si="12"/>
        <v>n.v.t</v>
      </c>
      <c r="R49" s="517" t="str">
        <f t="shared" si="13"/>
        <v>n.v.t</v>
      </c>
      <c r="S49" s="227" t="str">
        <f t="shared" si="24"/>
        <v>1: 0 tot 37149 tarief: 35,44% - Max. 13165</v>
      </c>
      <c r="T49" s="517" t="str">
        <f t="shared" si="14"/>
        <v>n.v.t</v>
      </c>
      <c r="U49" s="1475" t="str">
        <f t="shared" si="15"/>
        <v>n.v.t</v>
      </c>
      <c r="V49" s="517" t="str">
        <f t="shared" si="16"/>
        <v>n.v.t</v>
      </c>
      <c r="W49" s="1063" t="str">
        <f t="shared" si="17"/>
        <v>n.v.t</v>
      </c>
      <c r="X49" s="1469" t="str">
        <f t="shared" si="18"/>
        <v>n.v.t</v>
      </c>
      <c r="Y49" s="1471" t="str">
        <f t="shared" si="19"/>
        <v>n.v.t</v>
      </c>
      <c r="Z49" s="517" t="str">
        <f t="shared" si="20"/>
        <v>n.v.t</v>
      </c>
      <c r="AA49" s="1475" t="str">
        <f t="shared" si="21"/>
        <v>n.v.t</v>
      </c>
      <c r="AB49" s="30">
        <v>12</v>
      </c>
      <c r="AF49" s="2340"/>
    </row>
    <row r="50" spans="1:32" ht="15" customHeight="1" thickBot="1" x14ac:dyDescent="0.3">
      <c r="A50" s="335" t="s">
        <v>706</v>
      </c>
      <c r="B50" s="350" t="s">
        <v>701</v>
      </c>
      <c r="C50" s="237">
        <v>0</v>
      </c>
      <c r="D50" s="330">
        <f>IF(BG60Jaaropgave1_AP&lt;&gt;0,"zie jaarloon (60)",IF(C49=0,0,IF(C50&lt;=D49,C50*-1,D49*-1)))</f>
        <v>0</v>
      </c>
      <c r="E50" s="237">
        <v>0</v>
      </c>
      <c r="F50" s="330">
        <f>IF(BG60Jaaropgave1_AG&lt;&gt;0,"zie jaarloon (60)",IF(E49=0,0,IF(E50&lt;=F49,E50*-1,F49*-1)))</f>
        <v>0</v>
      </c>
      <c r="G50" s="2678" t="s">
        <v>702</v>
      </c>
      <c r="H50" s="2679"/>
      <c r="I50" s="2679"/>
      <c r="J50" s="2680"/>
      <c r="L50" s="72">
        <v>2</v>
      </c>
      <c r="M50" s="774">
        <f>N38</f>
        <v>37149</v>
      </c>
      <c r="N50" s="775">
        <v>73031</v>
      </c>
      <c r="O50" s="790">
        <v>0.36930000000000002</v>
      </c>
      <c r="P50" s="776">
        <f>O50*(N50-N38)</f>
        <v>13251.222600000001</v>
      </c>
      <c r="Q50" s="519" t="str">
        <f>IF(AND(BGAOWLeeftijdBereikt_AP="Ja",YEAR($C$9)=BGJaarBerekening),IF(AL94VerzInkomen_AP&lt;$M50,0,IF(AL94VerzInkomen_AP&gt;$N50,($N50-$N38)*$O50,(AL94VerzInkomen_AP-$N38)*$O50)),"n.v.t")</f>
        <v>n.v.t</v>
      </c>
      <c r="R50" s="519" t="str">
        <f>IF(AND(BGAOWLeeftijdBereikt_AG="Ja",YEAR($D$9)=BGJaarBerekening),IF(AL94VerzInkomen_AG&lt;$M50,0,IF(AL94VerzInkomen_AG&gt;$N50,($N50-$N38)*$O50,(AL94VerzInkomen_AG-$N38)*$O50)),"n.v.t")</f>
        <v>n.v.t</v>
      </c>
      <c r="S50" s="232" t="str">
        <f>L50&amp;": "&amp;M50&amp;" t/m "&amp;N50&amp;" tarief: "&amp;(O50*100)&amp;"% - Max. "&amp;ROUND(P50,0)</f>
        <v>2: 37149 t/m 73031 tarief: 36,93% - Max. 13251</v>
      </c>
      <c r="T50" s="519" t="str">
        <f>IF(AND(BGAOWLeeftijdBereikt_AP="Ja",YEAR($C$9)=BGJaarBerekening),IF($T$5&lt;$M50,0,IF($T$5&gt;$N50,($N50-$N38)*$O50,($T$5-$N$38)*$O50)),"n.v.t")</f>
        <v>n.v.t</v>
      </c>
      <c r="U50" s="1476" t="str">
        <f>IF(AND(BGAOWLeeftijdBereikt_AG="Ja",YEAR($D$9)=BGJaarBerekening),IF($U$5&lt;$M50,0,IF($U$5&gt;$N50,($N50-$N38)*$O50,($U$5-$N$38)*$O50)),"n.v.t")</f>
        <v>n.v.t</v>
      </c>
      <c r="V50" s="519" t="str">
        <f>IF(AND(BGAOWLeeftijdBereikt_AP="Ja",YEAR($C$9)=BGJaarBerekening),IF($V$5&lt;$M50,0,IF($V$5&gt;$N50,($N50-$N38)*$O50,($V$5-$N38)*$O50)),"n.v.t")</f>
        <v>n.v.t</v>
      </c>
      <c r="W50" s="1472" t="str">
        <f>IF(AND(BGAOWLeeftijdBereikt_AG="Ja",YEAR($D$9)=BGJaarBerekening),IF($W$5&lt;$M50,0,IF($W$5&gt;$N50,($N50-$N38)*$O50,($W$5-$N38)*$O50)),"n.v.t")</f>
        <v>n.v.t</v>
      </c>
      <c r="X50" s="1468" t="str">
        <f>IF(AND(BGAOWLeeftijdBereikt_AG="Ja",YEAR($D$9)=BGJaarBerekening),IF($X$5&lt;M50-(SUM(Y$38:Y49)-SUM(X$38:X49))-P50,0,IF($X$5&gt;N50-(SUM(Y$38:Y49)-SUM(X$38:X49))-P50,N50-M50-P50,$X$5-SUM(X$38:X49))),"n.v.t")</f>
        <v>n.v.t</v>
      </c>
      <c r="Y50" s="515" t="str">
        <f t="shared" si="19"/>
        <v>n.v.t</v>
      </c>
      <c r="Z50" s="519" t="str">
        <f>IF(AND(BGAOWLeeftijdBereikt_AP="Ja",YEAR($C$9)=BGJaarBerekening),IF($Z$5&lt;$M50,0,IF($Z$5&gt;$N50,($N50-$N38)*$O50,($Z$5-$N$38)*$O50)),"n.v.t")</f>
        <v>n.v.t</v>
      </c>
      <c r="AA50" s="1476" t="str">
        <f>IF(AND(BGAOWLeeftijdBereikt_AG="Ja",YEAR($D$9)=BGJaarBerekening),IF($AA$5&lt;$M50,0,IF($AA$5&gt;$N50,($N50-$N38)*$O50,($AA$5-$N$38)*$O50)),"n.v.t")</f>
        <v>n.v.t</v>
      </c>
      <c r="AB50" s="70"/>
      <c r="AF50" s="2340"/>
    </row>
    <row r="51" spans="1:32" ht="14.45" customHeight="1" thickBot="1" x14ac:dyDescent="0.3">
      <c r="A51" s="169"/>
      <c r="B51" s="114" t="s">
        <v>2</v>
      </c>
      <c r="C51" s="58"/>
      <c r="D51" s="58">
        <f>SUM(D43:D50)</f>
        <v>0</v>
      </c>
      <c r="E51" s="58"/>
      <c r="F51" s="58">
        <f>SUM(F43:F50)</f>
        <v>0</v>
      </c>
      <c r="L51" s="31">
        <v>3</v>
      </c>
      <c r="M51" s="770">
        <f>N50</f>
        <v>73031</v>
      </c>
      <c r="N51" s="771"/>
      <c r="O51" s="777">
        <v>0.495</v>
      </c>
      <c r="P51" s="778">
        <f>IF(Q$35&lt;M51,0,(Q$35-N50)*O51)</f>
        <v>0</v>
      </c>
      <c r="Q51" s="521" t="str">
        <f>IF(AND(BGAOWLeeftijdBereikt_AP="Ja",YEAR($C$9)=BGJaarBerekening),IF(AL94VerzInkomen_AP&lt;$M51,0,(AL94VerzInkomen_AP-$N50)*$O51),"n.v.t")</f>
        <v>n.v.t</v>
      </c>
      <c r="R51" s="521" t="str">
        <f>IF(AND(BGAOWLeeftijdBereikt_AG="Ja",YEAR($D$9)=BGJaarBerekening),IF(AL94VerzInkomen_AG&lt;$M51,0,(AL94VerzInkomen_AG-$N50)*$O51),"n.v.t")</f>
        <v>n.v.t</v>
      </c>
      <c r="S51" s="227" t="str">
        <f>L51&amp;": vanaf "&amp;M51&amp;" tarief: "&amp;(O51*100)&amp;"%"</f>
        <v>3: vanaf 73031 tarief: 49,5%</v>
      </c>
      <c r="T51" s="521" t="str">
        <f>IF(AND(BGAOWLeeftijdBereikt_AP="Ja",YEAR($C$9)=BGJaarBerekening),IF($T$5&lt;$M51,0,($T$5-$N50)*$O51),"n.v.t")</f>
        <v>n.v.t</v>
      </c>
      <c r="U51" s="1477" t="str">
        <f>IF(AND(BGAOWLeeftijdBereikt_AG="Ja",YEAR($D$9)=BGJaarBerekening),IF($U$5&lt;$M51,0,($U$5-$N50)*$O51),"n.v.t")</f>
        <v>n.v.t</v>
      </c>
      <c r="V51" s="521" t="str">
        <f>IF(AND(BGAOWLeeftijdBereikt_AP="Ja",YEAR($C$9)=BGJaarBerekening),IF($V$5&lt;$M51,0,($V$5-$N50)*$O51),"n.v.t")</f>
        <v>n.v.t</v>
      </c>
      <c r="W51" s="1473" t="str">
        <f>IF(AND(BGAOWLeeftijdBereikt_AG="Ja",YEAR($D$9)=BGJaarBerekening),IF($W$5&lt;$M51,0,($W$5-$N50)*$O51),"n.v.t")</f>
        <v>n.v.t</v>
      </c>
      <c r="X51" s="522" t="str">
        <f>IF(AND(BGAOWLeeftijdBereikt_AG="Ja",YEAR($D$9)=BGJaarBerekening),IF($X$5&lt;M51-(SUM(Y38:Y50)-SUM(X38:X50)),0,IF($X$5&gt;=M51-SUM(P$16:P19),$X$5-SUM(X$16:X19))),"n.v.t")</f>
        <v>n.v.t</v>
      </c>
      <c r="Y51" s="521" t="str">
        <f t="shared" si="19"/>
        <v>n.v.t</v>
      </c>
      <c r="Z51" s="521" t="str">
        <f>IF(AND(BGAOWLeeftijdBereikt_AP="Ja",,YEAR($C$9)=BGJaarBerekening),IF($Z$5&lt;$M51,0,($Z$5-$N50)*$O51),"n.v.t")</f>
        <v>n.v.t</v>
      </c>
      <c r="AA51" s="1477" t="str">
        <f>IF(AND(BGAOWLeeftijdBereikt_AG="Ja",YEAR($D$9)=BGJaarBerekening),IF($AA$5&lt;$M51,0,($AA$5-$N50)*$O51),"n.v.t")</f>
        <v>n.v.t</v>
      </c>
      <c r="AB51" s="30"/>
      <c r="AF51" s="2340"/>
    </row>
    <row r="52" spans="1:32" ht="15.75" thickBot="1" x14ac:dyDescent="0.3">
      <c r="G52" s="2747" t="s">
        <v>1124</v>
      </c>
      <c r="H52" s="2748"/>
      <c r="I52" s="2748"/>
      <c r="J52" s="2749"/>
      <c r="O52" s="2723" t="s">
        <v>204</v>
      </c>
      <c r="P52" s="2724"/>
      <c r="Q52" s="427">
        <f>SUM(Q38:Q51)</f>
        <v>0</v>
      </c>
      <c r="R52" s="427">
        <f>SUM(R38:R51)</f>
        <v>0</v>
      </c>
      <c r="T52" s="427">
        <f t="shared" ref="T52:Y52" si="25">SUM(T38:T51)</f>
        <v>0</v>
      </c>
      <c r="U52" s="946">
        <f t="shared" si="25"/>
        <v>0</v>
      </c>
      <c r="V52" s="427">
        <f>SUM(V38:V51)</f>
        <v>0</v>
      </c>
      <c r="W52" s="1474">
        <f>SUM(W38:W51)</f>
        <v>0</v>
      </c>
      <c r="X52" s="1470">
        <f t="shared" si="25"/>
        <v>0</v>
      </c>
      <c r="Y52" s="496">
        <f t="shared" si="25"/>
        <v>0</v>
      </c>
      <c r="Z52" s="427">
        <f>SUM(Z38:Z51)</f>
        <v>0</v>
      </c>
      <c r="AA52" s="1474">
        <f>SUM(AA38:AA51)</f>
        <v>0</v>
      </c>
      <c r="AF52" s="2340"/>
    </row>
    <row r="53" spans="1:32" ht="15.75" thickBot="1" x14ac:dyDescent="0.3">
      <c r="A53" s="166">
        <v>41</v>
      </c>
      <c r="B53" s="107" t="s">
        <v>627</v>
      </c>
      <c r="C53" s="64" t="str">
        <f>BGPartnerAP</f>
        <v>AP</v>
      </c>
      <c r="E53" s="22" t="str">
        <f>BGPartnerAG</f>
        <v>AG</v>
      </c>
      <c r="G53" s="2750"/>
      <c r="H53" s="2751"/>
      <c r="I53" s="2751"/>
      <c r="J53" s="2752"/>
      <c r="AF53" s="2340"/>
    </row>
    <row r="54" spans="1:32" ht="15.75" thickBot="1" x14ac:dyDescent="0.3">
      <c r="B54" s="110" t="s">
        <v>94</v>
      </c>
      <c r="C54" s="45" t="s">
        <v>95</v>
      </c>
      <c r="D54" s="23" t="s">
        <v>94</v>
      </c>
      <c r="E54" s="45" t="s">
        <v>95</v>
      </c>
      <c r="F54" s="2" t="s">
        <v>896</v>
      </c>
      <c r="L54" s="2">
        <v>115</v>
      </c>
      <c r="M54" s="13" t="s">
        <v>836</v>
      </c>
      <c r="O54" s="32" t="s">
        <v>145</v>
      </c>
      <c r="AF54" s="2340"/>
    </row>
    <row r="55" spans="1:32" ht="15.75" thickBot="1" x14ac:dyDescent="0.3">
      <c r="A55" s="9" t="s">
        <v>249</v>
      </c>
      <c r="B55" s="111" t="s">
        <v>74</v>
      </c>
      <c r="C55" s="22" t="str">
        <f>IF(C54="Maand","Maandloon",IF(C54="4 Weken","4-Wekenloon",IF(C54="Week","Weekloon",IF(C54="Anders","Anders",""))))</f>
        <v>Maandloon</v>
      </c>
      <c r="D55" s="22" t="s">
        <v>703</v>
      </c>
      <c r="E55" s="22" t="str">
        <f>IF(E54="Maand","Maandloon",IF(E54="4 Weken","4-Wekenloon",IF(E54="Week","Weekloon",IF(E54="Anders","Anders",""))))</f>
        <v>Maandloon</v>
      </c>
      <c r="F55" s="22" t="s">
        <v>703</v>
      </c>
      <c r="G55" s="2720" t="s">
        <v>215</v>
      </c>
      <c r="H55" s="2721"/>
      <c r="I55" s="2721"/>
      <c r="J55" s="2722"/>
      <c r="O55" s="2778" t="s">
        <v>134</v>
      </c>
      <c r="P55" s="2779"/>
      <c r="Q55" s="22" t="str">
        <f>BGPartnerAP</f>
        <v>AP</v>
      </c>
      <c r="R55" s="71" t="str">
        <f>BGPartnerAG</f>
        <v>AG</v>
      </c>
      <c r="S55" s="61"/>
      <c r="AF55" s="2340"/>
    </row>
    <row r="56" spans="1:32" ht="15.75" thickBot="1" x14ac:dyDescent="0.3">
      <c r="A56" s="70"/>
      <c r="B56" s="167" t="s">
        <v>75</v>
      </c>
      <c r="C56" s="236">
        <v>0</v>
      </c>
      <c r="D56" s="333">
        <f>IF(BG60Jaaropgave2_AP&lt;&gt;0,"zie jaarloon (60)",IF(C$54="Maand",C56*12,IF(C$54="4 Weken",C56*13,IF(C$54="Week",C56*52,0))))</f>
        <v>0</v>
      </c>
      <c r="E56" s="236">
        <v>0</v>
      </c>
      <c r="F56" s="333">
        <f>IF(BG60Jaaropgave2_AG&lt;&gt;0,"zie jaarloon (60)",IF(E$54="Maand",E56*12,IF(E$54="4 Weken",E56*13,IF(E$54="Week",E56*52,0))))</f>
        <v>0</v>
      </c>
      <c r="G56" s="2739" t="s">
        <v>422</v>
      </c>
      <c r="H56" s="2740"/>
      <c r="I56" s="2740"/>
      <c r="J56" s="2741"/>
      <c r="O56" s="2842">
        <v>478</v>
      </c>
      <c r="P56" s="2843"/>
      <c r="Q56" s="678" t="str">
        <f>IF(AND(YEAR($C$9)&lt;=BGJaarBerekening,Q59="Ja"),$O56,"n.v.t")</f>
        <v>n.v.t</v>
      </c>
      <c r="R56" s="678" t="str">
        <f>IF(AND(YEAR($D$9)&lt;=BGJaarBerekening,R59="Ja"),$O56,"n.v.t")</f>
        <v>n.v.t</v>
      </c>
      <c r="S56" s="61"/>
      <c r="AF56" s="2340"/>
    </row>
    <row r="57" spans="1:32" ht="14.25" customHeight="1" x14ac:dyDescent="0.25">
      <c r="A57" s="69"/>
      <c r="B57" s="154" t="s">
        <v>76</v>
      </c>
      <c r="C57" s="36">
        <v>0</v>
      </c>
      <c r="D57" s="330">
        <f>IF(BG60Jaaropgave2_AP&lt;&gt;0,"zie jaarloon (60)",IF(C$54="Maand",C57*12,IF(C$54="4 Weken",C57*13,IF(C$54="Week",C57*52,0))))</f>
        <v>0</v>
      </c>
      <c r="E57" s="36">
        <v>0</v>
      </c>
      <c r="F57" s="330">
        <f>IF(BG60Jaaropgave2_AG&lt;&gt;0,"zie jaarloon (60)",IF(E$54="Maand",E57*12,IF(E$54="4 Weken",E57*13,IF(E$54="Week",E57*52,0))))</f>
        <v>0</v>
      </c>
      <c r="G57" s="2742" t="s">
        <v>422</v>
      </c>
      <c r="H57" s="2743"/>
      <c r="I57" s="2743"/>
      <c r="J57" s="2744"/>
      <c r="O57" s="2711" t="s">
        <v>202</v>
      </c>
      <c r="P57" s="2712"/>
      <c r="Q57" s="679">
        <f>YEAR($C$9)</f>
        <v>2049</v>
      </c>
      <c r="R57" s="673">
        <f>YEAR($D$9)</f>
        <v>2049</v>
      </c>
      <c r="AF57" s="2340"/>
    </row>
    <row r="58" spans="1:32" ht="15.75" thickBot="1" x14ac:dyDescent="0.3">
      <c r="A58" s="174"/>
      <c r="B58" s="168" t="s">
        <v>578</v>
      </c>
      <c r="C58" s="237">
        <v>0</v>
      </c>
      <c r="D58" s="331">
        <f>IF(BG60Jaaropgave2_AP&lt;&gt;0,"zie jaarloon (60)",IF(C$54="Maand",C58*12,IF(C$54="4 Weken",C58*13,IF(C$54="Week",C58*52,0))))</f>
        <v>0</v>
      </c>
      <c r="E58" s="237">
        <v>0</v>
      </c>
      <c r="F58" s="331">
        <f>IF(BG60Jaaropgave2_AG&lt;&gt;0,"zie jaarloon (60)",IF(E$54="Maand",E58*12,IF(E$54="4 Weken",E58*13,IF(E$54="Week",E58*52,0))))</f>
        <v>0</v>
      </c>
      <c r="G58" s="2742" t="s">
        <v>421</v>
      </c>
      <c r="H58" s="2743"/>
      <c r="I58" s="2743"/>
      <c r="J58" s="2744"/>
      <c r="O58" s="2776" t="s">
        <v>201</v>
      </c>
      <c r="P58" s="2777"/>
      <c r="Q58" s="680">
        <f>BGJaarBerekening</f>
        <v>2023</v>
      </c>
      <c r="R58" s="674">
        <f>BGJaarBerekening</f>
        <v>2023</v>
      </c>
      <c r="AF58" s="2340"/>
    </row>
    <row r="59" spans="1:32" ht="15.75" thickBot="1" x14ac:dyDescent="0.3">
      <c r="A59" s="169">
        <v>41</v>
      </c>
      <c r="B59" s="114" t="s">
        <v>333</v>
      </c>
      <c r="C59" s="58">
        <f>SUM(C56:C58)</f>
        <v>0</v>
      </c>
      <c r="D59" s="58">
        <f>SUM(D56:D58)</f>
        <v>0</v>
      </c>
      <c r="E59" s="58">
        <f>SUM(E56:E58)</f>
        <v>0</v>
      </c>
      <c r="F59" s="58">
        <f>SUM(F56:F58)</f>
        <v>0</v>
      </c>
      <c r="G59" s="2742"/>
      <c r="H59" s="2743"/>
      <c r="I59" s="2743"/>
      <c r="J59" s="2744"/>
      <c r="M59" s="2704" t="s">
        <v>143</v>
      </c>
      <c r="N59" s="2705"/>
      <c r="O59" s="2716"/>
      <c r="P59" s="2716"/>
      <c r="Q59" s="243" t="s">
        <v>110</v>
      </c>
      <c r="R59" s="243" t="s">
        <v>110</v>
      </c>
      <c r="S59" s="61"/>
      <c r="AF59" s="2340"/>
    </row>
    <row r="60" spans="1:32" x14ac:dyDescent="0.25">
      <c r="A60" s="283">
        <v>46</v>
      </c>
      <c r="B60" s="352" t="s">
        <v>352</v>
      </c>
      <c r="C60" s="236">
        <v>0</v>
      </c>
      <c r="D60" s="333">
        <f>IF(BG60Jaaropgave2_AP&lt;&gt;0,"zie jaarloon (60)",IF(C$54="Maand",C60*12,IF(C$54="4 Weken",C60*13,IF(C$54="Week",C60*52,0))))</f>
        <v>0</v>
      </c>
      <c r="E60" s="236">
        <v>0</v>
      </c>
      <c r="F60" s="333">
        <f>IF(BG60Jaaropgave2_AG&lt;&gt;0,"zie jaarloon (60)",IF(E$54="Maand",E60*12,IF(E$54="4 Weken",E60*13,IF(E$54="Week",E60*52,0))))</f>
        <v>0</v>
      </c>
      <c r="G60" s="2742" t="s">
        <v>420</v>
      </c>
      <c r="H60" s="2743"/>
      <c r="I60" s="2743"/>
      <c r="J60" s="2744"/>
      <c r="M60" s="2708" t="s">
        <v>1057</v>
      </c>
      <c r="N60" s="2745"/>
      <c r="O60" s="2745"/>
      <c r="P60" s="2745"/>
      <c r="Q60" s="2745"/>
      <c r="R60" s="2745"/>
      <c r="S60" s="2746"/>
      <c r="AF60" s="2340"/>
    </row>
    <row r="61" spans="1:32" x14ac:dyDescent="0.25">
      <c r="A61" s="283">
        <v>44</v>
      </c>
      <c r="B61" s="348" t="s">
        <v>334</v>
      </c>
      <c r="C61" s="349">
        <v>0.08</v>
      </c>
      <c r="D61" s="330">
        <f>IF(BG60Jaaropgave2_AP&lt;&gt;0,"zie jaarloon (60)",C61*(D56+D57+D60))</f>
        <v>0</v>
      </c>
      <c r="E61" s="349">
        <v>0.08</v>
      </c>
      <c r="F61" s="330">
        <f>IF(BG60Jaaropgave2_AG&lt;&gt;0,"zie jaarloon (60)",E61*(F56+F57+F60))</f>
        <v>0</v>
      </c>
      <c r="G61" s="2717" t="s">
        <v>700</v>
      </c>
      <c r="H61" s="2718"/>
      <c r="I61" s="2718"/>
      <c r="J61" s="2719"/>
      <c r="M61" s="2713" t="s">
        <v>573</v>
      </c>
      <c r="N61" s="2714"/>
      <c r="O61" s="2714"/>
      <c r="P61" s="2714"/>
      <c r="Q61" s="2714"/>
      <c r="R61" s="2714"/>
      <c r="S61" s="2715"/>
      <c r="AF61" s="2340"/>
    </row>
    <row r="62" spans="1:32" ht="14.45" customHeight="1" x14ac:dyDescent="0.25">
      <c r="A62" s="283"/>
      <c r="B62" s="348" t="s">
        <v>577</v>
      </c>
      <c r="C62" s="100" t="s">
        <v>110</v>
      </c>
      <c r="D62" s="684"/>
      <c r="E62" s="100" t="s">
        <v>110</v>
      </c>
      <c r="F62" s="684"/>
      <c r="G62" s="2717"/>
      <c r="H62" s="2718"/>
      <c r="I62" s="2718"/>
      <c r="J62" s="2719"/>
      <c r="M62" s="2713" t="s">
        <v>146</v>
      </c>
      <c r="N62" s="2714"/>
      <c r="O62" s="2714"/>
      <c r="P62" s="2714"/>
      <c r="Q62" s="2714"/>
      <c r="R62" s="2714"/>
      <c r="S62" s="2715"/>
      <c r="AF62" s="2340"/>
    </row>
    <row r="63" spans="1:32" ht="14.45" customHeight="1" thickBot="1" x14ac:dyDescent="0.3">
      <c r="A63" s="282">
        <v>47</v>
      </c>
      <c r="B63" s="348" t="s">
        <v>624</v>
      </c>
      <c r="C63" s="36">
        <v>0</v>
      </c>
      <c r="D63" s="330">
        <f>IF(BG60Jaaropgave2_AP&lt;&gt;0,"zie jaarloon (60)",IF(C$54="Anders",0,C63))</f>
        <v>0</v>
      </c>
      <c r="E63" s="36">
        <v>0</v>
      </c>
      <c r="F63" s="330">
        <f>IF(BG60Jaaropgave2_AG&lt;&gt;0,"zie jaarloon (60)",IF(E$54="Anders",0,E63))</f>
        <v>0</v>
      </c>
      <c r="G63" s="2717"/>
      <c r="H63" s="2718"/>
      <c r="I63" s="2718"/>
      <c r="J63" s="2719"/>
      <c r="M63" s="2736" t="s">
        <v>147</v>
      </c>
      <c r="N63" s="2737"/>
      <c r="O63" s="2737"/>
      <c r="P63" s="2737"/>
      <c r="Q63" s="2737"/>
      <c r="R63" s="2737"/>
      <c r="S63" s="2738"/>
      <c r="AF63" s="2340"/>
    </row>
    <row r="64" spans="1:32" ht="14.45" customHeight="1" x14ac:dyDescent="0.25">
      <c r="A64" s="335">
        <v>48</v>
      </c>
      <c r="B64" s="350" t="s">
        <v>335</v>
      </c>
      <c r="C64" s="351">
        <v>0</v>
      </c>
      <c r="D64" s="331">
        <f>IF(BG60Jaaropgave2_AP&lt;&gt;0,"zie jaarloon (60)",IF(C60="Ja",(D56+D61)*C64,D56*C64))</f>
        <v>0</v>
      </c>
      <c r="E64" s="351">
        <v>0</v>
      </c>
      <c r="F64" s="331">
        <f>IF(BG60Jaaropgave2_AG&lt;&gt;0,"zie jaarloon (60)",IF(E60="Ja",(F56+F61)*E64,F56*E64))</f>
        <v>0</v>
      </c>
      <c r="G64" s="2717" t="s">
        <v>700</v>
      </c>
      <c r="H64" s="2718"/>
      <c r="I64" s="2718"/>
      <c r="J64" s="2719"/>
      <c r="Q64" s="2"/>
      <c r="R64" s="2"/>
      <c r="AF64" s="2340"/>
    </row>
    <row r="65" spans="1:32" ht="14.45" customHeight="1" thickBot="1" x14ac:dyDescent="0.3">
      <c r="A65" s="335" t="s">
        <v>706</v>
      </c>
      <c r="B65" s="350" t="str">
        <f>"Individueel keuze budget (IKB/PKB), vul % per "&amp;LOWER(C54)&amp;" in"</f>
        <v>Individueel keuze budget (IKB/PKB), vul % per maand in</v>
      </c>
      <c r="C65" s="351">
        <v>0</v>
      </c>
      <c r="D65" s="331">
        <f>IF(BG60Jaaropgave2_AP&lt;&gt;0,"zie jaarloon (60)",IF(C$38="Maand",D56*C65*12,IF(C$38="4 Weken",D56*C65*13,IF(C$38="Week",D56*C65*52,0))))</f>
        <v>0</v>
      </c>
      <c r="E65" s="351">
        <v>0</v>
      </c>
      <c r="F65" s="331">
        <f>IF(BG60Jaaropgave2_AG&lt;&gt;0,"zie jaarloon (60)",IF(E$38="Maand",F56*E65*12,IF(E$38="4 Weken",F56*E65*13,IF(E$38="Week",F56*E65*52,0))))</f>
        <v>0</v>
      </c>
      <c r="G65" s="2717" t="s">
        <v>699</v>
      </c>
      <c r="H65" s="2718"/>
      <c r="I65" s="2718"/>
      <c r="J65" s="2719"/>
      <c r="L65" s="2">
        <v>115</v>
      </c>
      <c r="M65" s="24" t="s">
        <v>454</v>
      </c>
      <c r="AF65" s="2340"/>
    </row>
    <row r="66" spans="1:32" ht="14.45" customHeight="1" thickBot="1" x14ac:dyDescent="0.3">
      <c r="A66" s="335" t="s">
        <v>706</v>
      </c>
      <c r="B66" s="350" t="s">
        <v>701</v>
      </c>
      <c r="C66" s="237">
        <v>0</v>
      </c>
      <c r="D66" s="330">
        <f>IF(BG60Jaaropgave2_AP&lt;&gt;0,"zie jaarloon (60)",IF(C65=0,0,IF(C66&lt;=D65,C66*-1,D65*-1)))</f>
        <v>0</v>
      </c>
      <c r="E66" s="237">
        <v>0</v>
      </c>
      <c r="F66" s="330">
        <f>IF(BG60Jaaropgave2_AG&lt;&gt;0,"zie jaarloon (60)",IF(E65=0,0,IF(E66&lt;=F65,E66*-1,F65*-1)))</f>
        <v>0</v>
      </c>
      <c r="G66" s="2678" t="s">
        <v>702</v>
      </c>
      <c r="H66" s="2679"/>
      <c r="I66" s="2679"/>
      <c r="J66" s="2680"/>
      <c r="M66" s="2708" t="s">
        <v>448</v>
      </c>
      <c r="N66" s="2709"/>
      <c r="O66" s="2709"/>
      <c r="P66" s="2709"/>
      <c r="Q66" s="2709"/>
      <c r="R66" s="2709"/>
      <c r="S66" s="2710"/>
      <c r="AF66" s="2340"/>
    </row>
    <row r="67" spans="1:32" ht="14.45" customHeight="1" thickBot="1" x14ac:dyDescent="0.3">
      <c r="A67" s="169"/>
      <c r="B67" s="114" t="s">
        <v>620</v>
      </c>
      <c r="C67" s="58"/>
      <c r="D67" s="58">
        <f>SUM(D59:D66)</f>
        <v>0</v>
      </c>
      <c r="E67" s="58"/>
      <c r="F67" s="58">
        <f>SUM(F59:F66)</f>
        <v>0</v>
      </c>
      <c r="M67" s="160" t="str">
        <f>"1) U kind is op 1 januari "&amp;BGJaarBerekening&amp;" jonger dan 12jaar"</f>
        <v>1) U kind is op 1 januari 2023 jonger dan 12jaar</v>
      </c>
      <c r="N67" s="2"/>
      <c r="O67" s="2"/>
      <c r="P67" s="2"/>
      <c r="Q67" s="2"/>
      <c r="R67" s="2"/>
      <c r="S67" s="161"/>
      <c r="AF67" s="2340"/>
    </row>
    <row r="68" spans="1:32" ht="14.45" customHeight="1" x14ac:dyDescent="0.25">
      <c r="M68" s="160" t="s">
        <v>675</v>
      </c>
      <c r="N68" s="2"/>
      <c r="O68" s="2"/>
      <c r="P68" s="2"/>
      <c r="Q68" s="2"/>
      <c r="R68" s="2"/>
      <c r="S68" s="161"/>
      <c r="AF68" s="2340"/>
    </row>
    <row r="69" spans="1:32" ht="14.45" customHeight="1" thickBot="1" x14ac:dyDescent="0.3">
      <c r="B69" s="107" t="s">
        <v>616</v>
      </c>
      <c r="M69" s="160" t="s">
        <v>142</v>
      </c>
      <c r="N69" s="2"/>
      <c r="O69" s="2"/>
      <c r="P69" s="2"/>
      <c r="Q69" s="2"/>
      <c r="R69" s="2"/>
      <c r="S69" s="161"/>
      <c r="AF69" s="2340"/>
    </row>
    <row r="70" spans="1:32" ht="14.45" customHeight="1" thickBot="1" x14ac:dyDescent="0.3">
      <c r="A70" s="9" t="s">
        <v>249</v>
      </c>
      <c r="B70" s="111" t="s">
        <v>74</v>
      </c>
      <c r="C70" s="22" t="str">
        <f>C53</f>
        <v>AP</v>
      </c>
      <c r="D70" s="122" t="s">
        <v>1</v>
      </c>
      <c r="E70" s="22" t="str">
        <f>E53</f>
        <v>AG</v>
      </c>
      <c r="F70" s="71" t="s">
        <v>1</v>
      </c>
      <c r="G70" s="2720" t="s">
        <v>215</v>
      </c>
      <c r="H70" s="2721"/>
      <c r="I70" s="2721"/>
      <c r="J70" s="2722"/>
      <c r="M70" s="160" t="s">
        <v>676</v>
      </c>
      <c r="N70" s="2"/>
      <c r="O70" s="2"/>
      <c r="P70" s="2"/>
      <c r="Q70" s="2"/>
      <c r="R70" s="2"/>
      <c r="S70" s="161"/>
      <c r="AF70" s="2340"/>
    </row>
    <row r="71" spans="1:32" x14ac:dyDescent="0.25">
      <c r="A71" s="67">
        <v>1</v>
      </c>
      <c r="B71" s="892" t="s">
        <v>617</v>
      </c>
      <c r="C71" s="900" t="s">
        <v>619</v>
      </c>
      <c r="D71" s="896">
        <f>D51</f>
        <v>0</v>
      </c>
      <c r="E71" s="900" t="s">
        <v>619</v>
      </c>
      <c r="F71" s="898">
        <f>F51</f>
        <v>0</v>
      </c>
      <c r="G71" s="2739"/>
      <c r="H71" s="2740"/>
      <c r="I71" s="2740"/>
      <c r="J71" s="2741"/>
      <c r="M71" s="160" t="s">
        <v>677</v>
      </c>
      <c r="N71" s="2"/>
      <c r="O71" s="2"/>
      <c r="P71" s="2"/>
      <c r="Q71" s="2"/>
      <c r="R71" s="2"/>
      <c r="S71" s="161"/>
      <c r="AF71" s="2340"/>
    </row>
    <row r="72" spans="1:32" ht="15.75" thickBot="1" x14ac:dyDescent="0.3">
      <c r="A72" s="31">
        <v>2</v>
      </c>
      <c r="B72" s="893" t="s">
        <v>618</v>
      </c>
      <c r="C72" s="901" t="s">
        <v>619</v>
      </c>
      <c r="D72" s="897">
        <f>D67</f>
        <v>0</v>
      </c>
      <c r="E72" s="901" t="s">
        <v>619</v>
      </c>
      <c r="F72" s="899">
        <f>F67</f>
        <v>0</v>
      </c>
      <c r="G72" s="2804"/>
      <c r="H72" s="2805"/>
      <c r="I72" s="2805"/>
      <c r="J72" s="2806"/>
      <c r="M72" s="160" t="str">
        <f>"3) U werkt en uw inkomen uit werk is in "&amp;BGJaarBerekening&amp;" hoger dan € 5.547. Of u hebt als ondernemer recht op de zelfstandigenaftrek."</f>
        <v>3) U werkt en uw inkomen uit werk is in 2023 hoger dan € 5.547. Of u hebt als ondernemer recht op de zelfstandigenaftrek.</v>
      </c>
      <c r="N72" s="2"/>
      <c r="O72" s="2"/>
      <c r="P72" s="2"/>
      <c r="Q72" s="2"/>
      <c r="R72" s="2"/>
      <c r="S72" s="161"/>
      <c r="AF72" s="2340"/>
    </row>
    <row r="73" spans="1:32" ht="15.75" thickBot="1" x14ac:dyDescent="0.3">
      <c r="A73" s="169"/>
      <c r="B73" s="114" t="s">
        <v>2</v>
      </c>
      <c r="C73" s="58"/>
      <c r="D73" s="58">
        <f>SUM(D71:D72)</f>
        <v>0</v>
      </c>
      <c r="E73" s="58"/>
      <c r="F73" s="58">
        <f>SUM(F71:F72)</f>
        <v>0</v>
      </c>
      <c r="M73" s="160" t="s">
        <v>141</v>
      </c>
      <c r="N73" s="2"/>
      <c r="O73" s="2"/>
      <c r="P73" s="2"/>
      <c r="Q73" s="2"/>
      <c r="R73" s="2"/>
      <c r="S73" s="161"/>
      <c r="AF73" s="2340"/>
    </row>
    <row r="74" spans="1:32" ht="15.75" thickBot="1" x14ac:dyDescent="0.3">
      <c r="E74" s="21"/>
      <c r="M74" s="162" t="s">
        <v>447</v>
      </c>
      <c r="N74" s="163"/>
      <c r="O74" s="163"/>
      <c r="P74" s="163"/>
      <c r="Q74" s="163"/>
      <c r="R74" s="163"/>
      <c r="S74" s="164"/>
      <c r="AF74" s="2340"/>
    </row>
    <row r="75" spans="1:32" ht="15" customHeight="1" thickBot="1" x14ac:dyDescent="0.3">
      <c r="A75" s="166">
        <v>45</v>
      </c>
      <c r="B75" s="438" t="s">
        <v>629</v>
      </c>
      <c r="M75" s="2704" t="s">
        <v>143</v>
      </c>
      <c r="N75" s="2705"/>
      <c r="O75" s="2705"/>
      <c r="P75" s="2705"/>
      <c r="Q75" s="882" t="s">
        <v>110</v>
      </c>
      <c r="R75" s="882" t="s">
        <v>110</v>
      </c>
      <c r="S75" s="2266" t="s">
        <v>582</v>
      </c>
      <c r="U75" s="21"/>
      <c r="AF75" s="2340"/>
    </row>
    <row r="76" spans="1:32" ht="16.5" thickBot="1" x14ac:dyDescent="0.3">
      <c r="A76" s="44" t="s">
        <v>249</v>
      </c>
      <c r="B76" s="153" t="s">
        <v>74</v>
      </c>
      <c r="C76" s="1163" t="str">
        <f>BGPartnerAP</f>
        <v>AP</v>
      </c>
      <c r="D76" s="60" t="s">
        <v>1</v>
      </c>
      <c r="E76" s="60" t="str">
        <f>BGPartnerAG</f>
        <v>AG</v>
      </c>
      <c r="F76" s="60" t="s">
        <v>1</v>
      </c>
      <c r="G76" s="2720" t="s">
        <v>215</v>
      </c>
      <c r="H76" s="2721"/>
      <c r="I76" s="2721"/>
      <c r="J76" s="2722"/>
      <c r="M76" s="2706" t="str">
        <f>CONCATENATE("Als één van beiden in ",C17," de AOW leeftijd bereikt gelden speciale tarieven, hiervoor moet een aanvraag worden ingediend !!!")</f>
        <v>Als één van beiden in 2023 de AOW leeftijd bereikt gelden speciale tarieven, hiervoor moet een aanvraag worden ingediend !!!</v>
      </c>
      <c r="N76" s="2707"/>
      <c r="O76" s="2707"/>
      <c r="P76" s="2707"/>
      <c r="Q76" s="2707"/>
      <c r="R76" s="2707"/>
      <c r="S76" s="2707"/>
      <c r="AF76" s="2340"/>
    </row>
    <row r="77" spans="1:32" ht="15.75" thickBot="1" x14ac:dyDescent="0.3">
      <c r="A77" s="69"/>
      <c r="B77" s="803" t="s">
        <v>630</v>
      </c>
      <c r="C77" s="99">
        <v>0</v>
      </c>
      <c r="D77" s="2523"/>
      <c r="E77" s="99">
        <v>0</v>
      </c>
      <c r="F77" s="2523"/>
      <c r="G77" s="2809" t="s">
        <v>692</v>
      </c>
      <c r="H77" s="2810"/>
      <c r="I77" s="2810"/>
      <c r="J77" s="2811"/>
      <c r="AF77" s="2340"/>
    </row>
    <row r="78" spans="1:32" ht="14.45" customHeight="1" thickBot="1" x14ac:dyDescent="0.3">
      <c r="A78" s="439"/>
      <c r="B78" s="2516" t="s">
        <v>455</v>
      </c>
      <c r="C78" s="39">
        <v>0</v>
      </c>
      <c r="D78" s="2524"/>
      <c r="E78" s="39">
        <v>0</v>
      </c>
      <c r="F78" s="2524"/>
      <c r="G78" s="2812"/>
      <c r="H78" s="2813"/>
      <c r="I78" s="2813"/>
      <c r="J78" s="2814"/>
      <c r="L78" s="2">
        <v>115</v>
      </c>
      <c r="M78" s="13" t="s">
        <v>275</v>
      </c>
      <c r="O78" s="32" t="s">
        <v>838</v>
      </c>
      <c r="T78" s="2681" t="s">
        <v>510</v>
      </c>
      <c r="U78" s="2682"/>
      <c r="V78" s="557" t="s">
        <v>512</v>
      </c>
      <c r="W78" s="2265"/>
      <c r="AF78" s="2340"/>
    </row>
    <row r="79" spans="1:32" ht="15.75" thickBot="1" x14ac:dyDescent="0.3">
      <c r="A79" s="169">
        <v>45</v>
      </c>
      <c r="B79" s="114" t="s">
        <v>628</v>
      </c>
      <c r="C79" s="58">
        <f>SUM(C77:C78)</f>
        <v>0</v>
      </c>
      <c r="D79" s="58">
        <f>46*C79</f>
        <v>0</v>
      </c>
      <c r="E79" s="58">
        <f>SUM(E77:E78)</f>
        <v>0</v>
      </c>
      <c r="F79" s="58">
        <f>46*E79</f>
        <v>0</v>
      </c>
      <c r="G79" s="2815"/>
      <c r="H79" s="2816"/>
      <c r="I79" s="2816"/>
      <c r="J79" s="2817"/>
      <c r="M79" s="124" t="str">
        <f>CONCATENATE("AOW leeftijd wordt in ",BGJaarBerekening," nog NIET bereikt")</f>
        <v>AOW leeftijd wordt in 2023 nog NIET bereikt</v>
      </c>
      <c r="P79" s="96" t="s">
        <v>198</v>
      </c>
      <c r="Q79" s="74">
        <f>BG41eaArbeidsloon_AP+'Alimentatie 2023-02'!D17+'Alimentatie 2023-02'!D18+IF('Alimentatie 2023-02'!D19="zie jaarloon (60)",0,'Alimentatie 2023-02'!D19)-'Alimentatie 2023-02'!D30+IF('Alimentatie 2023-02'!D32="zie jaarloon (60)",0,'Alimentatie 2023-02'!D32)-IF('Alimentatie 2023-02'!D33="zie jaarloon (60)",0,'Alimentatie 2023-02'!D33)-IF(AL55PremieWW_AP="zie jaarloon (60)",0,AL55PremieWW_AP)-'Alimentatie 2023-02'!D41+IF('Alimentatie 2023-02'!D43="zie jaarloon (60)",0,'Alimentatie 2023-02'!D43)-'Alimentatie 2023-02'!D54+AL70WinstOnderneming_AP+AL78OverigeWerkz_AP+AL60Arbeidsinkomen_AP</f>
        <v>0</v>
      </c>
      <c r="R79" s="74">
        <f>BG41eaArbeidsloon_AG+'Alimentatie 2023-02'!F17+'Alimentatie 2023-02'!F18+IF('Alimentatie 2023-02'!F19="zie jaarloon (60)",0,'Alimentatie 2023-02'!F19)-'Alimentatie 2023-02'!F30+IF('Alimentatie 2023-02'!F32="zie jaarloon (60)",0,'Alimentatie 2023-02'!F32)-IF('Alimentatie 2023-02'!F33="zie jaarloon (60)",0,'Alimentatie 2023-02'!F33)-IF(AL55PremieWW_AG="zie jaarloon (60)",0,AL55PremieWW_AG)-'Alimentatie 2023-02'!F41+IF('Alimentatie 2023-02'!F43="zie jaarloon (60)",0,'Alimentatie 2023-02'!F43)-'Alimentatie 2023-02'!F54+AL70WinstOnderneming_AG+AL78OverigeWerkz_AG+AL60Arbeidsinkomen_AG</f>
        <v>0</v>
      </c>
      <c r="S79" s="61"/>
      <c r="T79" s="555">
        <f>Q79</f>
        <v>0</v>
      </c>
      <c r="U79" s="554">
        <f>R79</f>
        <v>0</v>
      </c>
      <c r="V79" s="496">
        <f ca="1">Behoefteberekening!F12-(Behoefteberekening!F56-Behoefteberekening!F58-Behoefteberekening!F60+SUBSTITUTE(Behoefteberekening!F61,"n.v.t",0))</f>
        <v>0</v>
      </c>
      <c r="W79" s="2265"/>
      <c r="AF79" s="2340"/>
    </row>
    <row r="80" spans="1:32" ht="16.5" thickBot="1" x14ac:dyDescent="0.3">
      <c r="A80" s="332"/>
      <c r="B80" s="440" t="s">
        <v>456</v>
      </c>
      <c r="C80" s="2844"/>
      <c r="D80" s="2845"/>
      <c r="E80" s="2845"/>
      <c r="F80" s="2845"/>
      <c r="G80" s="2845"/>
      <c r="H80" s="2845"/>
      <c r="I80" s="2845"/>
      <c r="J80" s="2846"/>
      <c r="M80" s="14" t="s">
        <v>133</v>
      </c>
      <c r="N80" s="15" t="s">
        <v>71</v>
      </c>
      <c r="O80" s="37" t="s">
        <v>134</v>
      </c>
      <c r="P80" s="38" t="s">
        <v>81</v>
      </c>
      <c r="Q80" s="22" t="str">
        <f>BGPartnerAP</f>
        <v>AP</v>
      </c>
      <c r="R80" s="71" t="str">
        <f>BGPartnerAG</f>
        <v>AG</v>
      </c>
      <c r="S80" s="123" t="s">
        <v>136</v>
      </c>
      <c r="T80" s="22" t="str">
        <f>BGPartnerAP</f>
        <v>AP</v>
      </c>
      <c r="U80" s="71" t="str">
        <f>BGPartnerAG</f>
        <v>AG</v>
      </c>
      <c r="V80" s="22" t="str">
        <f>BGPartnerAG</f>
        <v>AG</v>
      </c>
      <c r="W80" s="2265"/>
      <c r="AF80" s="2340"/>
    </row>
    <row r="81" spans="1:32" ht="15.75" thickBot="1" x14ac:dyDescent="0.3">
      <c r="A81" s="169">
        <v>45</v>
      </c>
      <c r="B81" s="114" t="s">
        <v>628</v>
      </c>
      <c r="C81" s="2371"/>
      <c r="D81" s="54">
        <v>0</v>
      </c>
      <c r="E81" s="2542"/>
      <c r="F81" s="54">
        <v>0</v>
      </c>
      <c r="G81" s="2807" t="s">
        <v>457</v>
      </c>
      <c r="H81" s="2807"/>
      <c r="I81" s="2807"/>
      <c r="J81" s="2808"/>
      <c r="M81" s="428">
        <v>0</v>
      </c>
      <c r="N81" s="744">
        <v>5548</v>
      </c>
      <c r="O81" s="1090"/>
      <c r="P81" s="780"/>
      <c r="Q81" s="1091">
        <v>0</v>
      </c>
      <c r="R81" s="1092">
        <v>0</v>
      </c>
      <c r="S81" s="40" t="s">
        <v>140</v>
      </c>
      <c r="T81" s="636">
        <v>0</v>
      </c>
      <c r="U81" s="636">
        <v>0</v>
      </c>
      <c r="V81" s="636">
        <v>0</v>
      </c>
      <c r="W81" s="2265"/>
      <c r="AF81" s="2340"/>
    </row>
    <row r="82" spans="1:32" ht="15.75" thickBot="1" x14ac:dyDescent="0.3">
      <c r="A82" s="2"/>
      <c r="B82" s="2"/>
      <c r="C82" s="2"/>
      <c r="D82" s="2"/>
      <c r="M82" s="639">
        <f>N81</f>
        <v>5548</v>
      </c>
      <c r="N82" s="738">
        <v>29076</v>
      </c>
      <c r="O82" s="784">
        <v>0</v>
      </c>
      <c r="P82" s="782">
        <v>0.1145</v>
      </c>
      <c r="Q82" s="653">
        <f>IF(AND($Q$79&gt;$M82,$Q$79&lt;=$N82),O82+$P82*($Q$79-M82),0)</f>
        <v>0</v>
      </c>
      <c r="R82" s="654" t="str">
        <f>IF(AND($R$79&gt;$M82,$R$79&lt;=$N82),$P82*($R$79-M82),"--")</f>
        <v>--</v>
      </c>
      <c r="S82" s="1049" t="str">
        <f>P82*100&amp;"% x (arbeidsinkomen - € "&amp;N81&amp;")"</f>
        <v>11,45% x (arbeidsinkomen - € 5548)</v>
      </c>
      <c r="T82" s="312">
        <f>IF(AND($T$79&gt;$M82,$T$79&lt;=$N82),O82+$P82*($T$79-M82),0)</f>
        <v>0</v>
      </c>
      <c r="U82" s="312" t="str">
        <f>IF(AND($U$79&gt;$M82,$U$79&lt;=$N82),$P82*($U$79-M82),"--")</f>
        <v>--</v>
      </c>
      <c r="V82" s="312" t="str">
        <f ca="1">IF(AND($V$79&gt;$M82,$V$79&lt;=$N82),$P82*($V$79-M82),"--")</f>
        <v>--</v>
      </c>
      <c r="W82" s="2265"/>
      <c r="AF82" s="2340"/>
    </row>
    <row r="83" spans="1:32" ht="16.5" thickBot="1" x14ac:dyDescent="0.3">
      <c r="B83" s="801" t="s">
        <v>668</v>
      </c>
      <c r="C83" s="64" t="str">
        <f>BGPartnerAP</f>
        <v>AP</v>
      </c>
      <c r="E83" s="22" t="str">
        <f>BGPartnerAG</f>
        <v>AG</v>
      </c>
      <c r="M83" s="640">
        <f>N82</f>
        <v>29076</v>
      </c>
      <c r="N83" s="785">
        <v>0</v>
      </c>
      <c r="O83" s="785">
        <v>2694</v>
      </c>
      <c r="P83" s="783"/>
      <c r="Q83" s="1093" t="str">
        <f>IF($Q$79&gt;$M83,$O83,"--")</f>
        <v>--</v>
      </c>
      <c r="R83" s="1094">
        <f>IF($R$79&gt;$M83,$O83,0)</f>
        <v>0</v>
      </c>
      <c r="S83" s="1051" t="str">
        <f>"€ "&amp;O83</f>
        <v>€ 2694</v>
      </c>
      <c r="T83" s="637" t="str">
        <f>IF($T$79&gt;$M83,$O83,"--")</f>
        <v>--</v>
      </c>
      <c r="U83" s="637">
        <f>IF($U$79&gt;$M83,$O83,0)</f>
        <v>0</v>
      </c>
      <c r="V83" s="637">
        <f ca="1">IF($V$79&gt;$M83,$O83,0)</f>
        <v>0</v>
      </c>
      <c r="W83" s="2265"/>
      <c r="AF83" s="2340"/>
    </row>
    <row r="84" spans="1:32" ht="15.75" thickBot="1" x14ac:dyDescent="0.3">
      <c r="A84" s="9" t="s">
        <v>249</v>
      </c>
      <c r="B84" s="111" t="s">
        <v>158</v>
      </c>
      <c r="C84" s="27" t="str">
        <f>C39</f>
        <v>Maandloon</v>
      </c>
      <c r="D84" s="22" t="s">
        <v>98</v>
      </c>
      <c r="E84" s="122" t="str">
        <f>E39</f>
        <v>Maandloon</v>
      </c>
      <c r="F84" s="22" t="s">
        <v>318</v>
      </c>
      <c r="G84" s="2720" t="s">
        <v>215</v>
      </c>
      <c r="H84" s="2721"/>
      <c r="I84" s="2721"/>
      <c r="J84" s="2722"/>
      <c r="M84" s="2676" t="s">
        <v>135</v>
      </c>
      <c r="N84" s="2702"/>
      <c r="O84" s="2702"/>
      <c r="P84" s="2703"/>
      <c r="Q84" s="429" t="str">
        <f>IF($Q$75="Ja",IF(BGAOWLeeftijdBereikt_AP="Ja","zie AOW-tabel",SUM(Q81:Q83)),"n.v.t")</f>
        <v>n.v.t</v>
      </c>
      <c r="R84" s="429" t="str">
        <f>IF($R$75="Ja",IF(BGAOWLeeftijdBereikt_AG="Ja","zie AOW-tabel",SUM(R81:R83)),"n.v.t")</f>
        <v>n.v.t</v>
      </c>
      <c r="T84" s="42" t="str">
        <f>IF($Q$75="Ja",IF(BGAOWLeeftijdBereikt_AP="Ja","zie AOW-tabel",SUM(T81:T83)),"n.v.t")</f>
        <v>n.v.t</v>
      </c>
      <c r="U84" s="427" t="str">
        <f>IF($R$75="Ja",IF(BGAOWLeeftijdBereikt_AG="Ja","zie AOW-tabel",SUM(U81:U83)),"n.v.t")</f>
        <v>n.v.t</v>
      </c>
      <c r="V84" s="427">
        <f ca="1">IF(BGAOWLeeftijdBereikt_AG="Ja","Zie AOW-tabel",SUM(V81:V83))</f>
        <v>0</v>
      </c>
      <c r="W84" s="2265"/>
      <c r="AF84" s="2340"/>
    </row>
    <row r="85" spans="1:32" x14ac:dyDescent="0.25">
      <c r="A85" s="283">
        <v>49</v>
      </c>
      <c r="B85" s="694" t="s">
        <v>61</v>
      </c>
      <c r="C85" s="2365">
        <v>0</v>
      </c>
      <c r="D85" s="1032">
        <f>IF(BG60Jaaropgave1_AP&lt;&gt;0,"zie jaarloon (60)",IF(Basisgegevens!C$38="Maand",C85*12,IF(Basisgegevens!C$38="4 Weken",C85*13,IF(Basisgegevens!C$38="Weekloon",C85*52,0))))</f>
        <v>0</v>
      </c>
      <c r="E85" s="2368">
        <v>0</v>
      </c>
      <c r="F85" s="1032">
        <f>IF(BG60Jaaropgave1_AG&lt;&gt;0,"zie jaarloon (60)",IF(Basisgegevens!E$38="Maand",E85*12,IF(Basisgegevens!E$38="4 Weken",E85*13,IF(Basisgegevens!E$38="Weekloon",E85*52,0))))</f>
        <v>0</v>
      </c>
      <c r="G85" s="2739" t="s">
        <v>458</v>
      </c>
      <c r="H85" s="2740"/>
      <c r="I85" s="2740"/>
      <c r="J85" s="2741"/>
      <c r="AF85" s="2340"/>
    </row>
    <row r="86" spans="1:32" ht="15.75" thickBot="1" x14ac:dyDescent="0.3">
      <c r="A86" s="283">
        <v>51</v>
      </c>
      <c r="B86" s="695" t="s">
        <v>250</v>
      </c>
      <c r="C86" s="2366">
        <v>0</v>
      </c>
      <c r="D86" s="1032">
        <f>IF(BG60Jaaropgave1_AP&lt;&gt;0,"zie jaarloon (60)",IF(Basisgegevens!C$38="Maand",C86*12,IF(Basisgegevens!C$38="4 Weken",C86*13,IF(Basisgegevens!C$38="Weekloon",C86*52,0))))</f>
        <v>0</v>
      </c>
      <c r="E86" s="2369">
        <v>0</v>
      </c>
      <c r="F86" s="1032">
        <f>IF(BG60Jaaropgave1_AG&lt;&gt;0,"zie jaarloon (60)",IF(Basisgegevens!E$38="Maand",E86*12,IF(Basisgegevens!E$38="4 Weken",E86*13,IF(Basisgegevens!E$38="Weekloon",E86*52,0))))</f>
        <v>0</v>
      </c>
      <c r="G86" s="2742" t="s">
        <v>458</v>
      </c>
      <c r="H86" s="2743"/>
      <c r="I86" s="2743"/>
      <c r="J86" s="2744"/>
      <c r="M86" s="13" t="s">
        <v>274</v>
      </c>
      <c r="O86" s="32" t="s">
        <v>838</v>
      </c>
      <c r="AF86" s="2340"/>
    </row>
    <row r="87" spans="1:32" ht="15.75" thickBot="1" x14ac:dyDescent="0.3">
      <c r="A87" s="282">
        <v>52</v>
      </c>
      <c r="B87" s="696" t="s">
        <v>290</v>
      </c>
      <c r="C87" s="2367">
        <v>0</v>
      </c>
      <c r="D87" s="1033">
        <f>IF(BG60Jaaropgave1_AP&lt;&gt;0,"zie jaarloon (60)",IF(Basisgegevens!C$38="Maand",C87*12,IF(Basisgegevens!C$38="4 Weken",C87*13,IF(Basisgegevens!C$38="Weekloon",C87*52,0))))</f>
        <v>0</v>
      </c>
      <c r="E87" s="2370">
        <v>0</v>
      </c>
      <c r="F87" s="1033">
        <f>IF(BG60Jaaropgave1_AG&lt;&gt;0,"zie jaarloon (60)",IF(Basisgegevens!E$38="Maand",E87*12,IF(Basisgegevens!E$38="4 Weken",E87*13,IF(Basisgegevens!E$38="Weekloon",E87*52,0))))</f>
        <v>0</v>
      </c>
      <c r="G87" s="2742" t="s">
        <v>458</v>
      </c>
      <c r="H87" s="2743"/>
      <c r="I87" s="2743"/>
      <c r="J87" s="2744"/>
      <c r="M87" s="124" t="str">
        <f>CONCATENATE("AOW leeftijd is VOOR ",BGJaarBerekening," al bereikt")</f>
        <v>AOW leeftijd is VOOR 2023 al bereikt</v>
      </c>
      <c r="P87" s="61"/>
      <c r="Q87" s="61"/>
      <c r="R87" s="61"/>
      <c r="S87" s="61"/>
      <c r="T87" s="2681" t="s">
        <v>510</v>
      </c>
      <c r="U87" s="2682"/>
      <c r="V87" s="557" t="s">
        <v>512</v>
      </c>
      <c r="W87" s="2265"/>
      <c r="AF87" s="2340"/>
    </row>
    <row r="88" spans="1:32" ht="15.75" thickBot="1" x14ac:dyDescent="0.3">
      <c r="A88" s="282">
        <v>53</v>
      </c>
      <c r="B88" s="696" t="s">
        <v>291</v>
      </c>
      <c r="C88" s="2367">
        <v>0</v>
      </c>
      <c r="D88" s="1033">
        <f>IF(BG60Jaaropgave1_AP&lt;&gt;0,"zie jaarloon (60)",IF(Basisgegevens!C$38="Maand",C88*12,IF(Basisgegevens!C$38="4 Weken",C88*13,IF(Basisgegevens!C$38="Weekloon",C88*52,0))))</f>
        <v>0</v>
      </c>
      <c r="E88" s="2370">
        <v>0</v>
      </c>
      <c r="F88" s="1033">
        <f>IF(BG60Jaaropgave1_AG&lt;&gt;0,"zie jaarloon (60)",IF(Basisgegevens!E$38="Maand",E88*12,IF(Basisgegevens!E$38="4 Weken",E88*13,IF(Basisgegevens!E$38="Weekloon",E88*52,0))))</f>
        <v>0</v>
      </c>
      <c r="G88" s="2742" t="s">
        <v>425</v>
      </c>
      <c r="H88" s="2743"/>
      <c r="I88" s="2743"/>
      <c r="J88" s="2744"/>
      <c r="M88" s="14" t="s">
        <v>133</v>
      </c>
      <c r="N88" s="15" t="s">
        <v>71</v>
      </c>
      <c r="O88" s="37" t="s">
        <v>134</v>
      </c>
      <c r="P88" s="38" t="s">
        <v>81</v>
      </c>
      <c r="Q88" s="22" t="str">
        <f>BGPartnerAP</f>
        <v>AP</v>
      </c>
      <c r="R88" s="71" t="str">
        <f>BGPartnerAG</f>
        <v>AG</v>
      </c>
      <c r="S88" s="123" t="s">
        <v>136</v>
      </c>
      <c r="T88" s="22" t="str">
        <f>BGPartnerAP</f>
        <v>AP</v>
      </c>
      <c r="U88" s="71" t="str">
        <f>BGPartnerAG</f>
        <v>AG</v>
      </c>
      <c r="V88" s="71" t="str">
        <f>BGPartnerAG</f>
        <v>AG</v>
      </c>
      <c r="W88" s="2265"/>
      <c r="AF88" s="2340"/>
    </row>
    <row r="89" spans="1:32" x14ac:dyDescent="0.25">
      <c r="A89" s="282">
        <v>55</v>
      </c>
      <c r="B89" s="696" t="s">
        <v>65</v>
      </c>
      <c r="C89" s="1715">
        <v>0</v>
      </c>
      <c r="D89" s="1033">
        <f>IF(BG60Jaaropgave1_AP&lt;&gt;0,"zie jaarloon (60)",IF(Basisgegevens!C$38="Maand",C89*12,IF(Basisgegevens!C$38="4 Weken",C89*13,IF(Basisgegevens!C$38="Weekloon",C89*52,0))))</f>
        <v>0</v>
      </c>
      <c r="E89" s="1715">
        <v>0</v>
      </c>
      <c r="F89" s="1033">
        <f>IF(BG60Jaaropgave1_AG&lt;&gt;0,"zie jaarloon (60)",IF(Basisgegevens!E$38="Maand",E89*12,IF(Basisgegevens!E$38="4 Weken",E89*13,IF(Basisgegevens!E$38="Weekloon",E89*52,0))))</f>
        <v>0</v>
      </c>
      <c r="G89" s="2742" t="s">
        <v>693</v>
      </c>
      <c r="H89" s="2743"/>
      <c r="I89" s="2743"/>
      <c r="J89" s="2744"/>
      <c r="M89" s="428">
        <v>0</v>
      </c>
      <c r="N89" s="1521">
        <v>5548</v>
      </c>
      <c r="O89" s="1090"/>
      <c r="P89" s="780"/>
      <c r="Q89" s="1091">
        <v>0</v>
      </c>
      <c r="R89" s="1092">
        <v>0</v>
      </c>
      <c r="S89" s="40" t="s">
        <v>140</v>
      </c>
      <c r="T89" s="636">
        <v>0</v>
      </c>
      <c r="U89" s="636">
        <v>0</v>
      </c>
      <c r="V89" s="636">
        <v>0</v>
      </c>
      <c r="W89" s="2265"/>
      <c r="AF89" s="2340"/>
    </row>
    <row r="90" spans="1:32" x14ac:dyDescent="0.25">
      <c r="A90" s="282">
        <v>56</v>
      </c>
      <c r="B90" s="696" t="s">
        <v>292</v>
      </c>
      <c r="C90" s="2367">
        <v>0</v>
      </c>
      <c r="D90" s="1033">
        <f>IF(BG60Jaaropgave1_AP&lt;&gt;0,"zie jaarloon (60)",IF(Basisgegevens!C$38="Maand",C90*12,IF(Basisgegevens!C$38="4 Weken",C90*13,IF(Basisgegevens!C$38="Weekloon",C90*52,0))))</f>
        <v>0</v>
      </c>
      <c r="E90" s="2370">
        <v>0</v>
      </c>
      <c r="F90" s="1033">
        <f>IF(BG60Jaaropgave1_AG&lt;&gt;0,"zie jaarloon (60)",IF(Basisgegevens!E$38="Maand",E90*12,IF(Basisgegevens!E$38="4 Weken",E90*13,IF(Basisgegevens!E$38="Weekloon",E90*52,0))))</f>
        <v>0</v>
      </c>
      <c r="G90" s="2742" t="s">
        <v>426</v>
      </c>
      <c r="H90" s="2743"/>
      <c r="I90" s="2743"/>
      <c r="J90" s="2744"/>
      <c r="M90" s="639">
        <f>N89</f>
        <v>5548</v>
      </c>
      <c r="N90" s="1522">
        <v>29076</v>
      </c>
      <c r="O90" s="784">
        <v>0</v>
      </c>
      <c r="P90" s="1520">
        <v>5.8999999999999997E-2</v>
      </c>
      <c r="Q90" s="653">
        <f>IF(AND($Q$79&gt;$M90,$Q$79&lt;=$N90),O90+$P90*($Q$79-M90),0)</f>
        <v>0</v>
      </c>
      <c r="R90" s="654" t="str">
        <f>IF(AND($R$79&gt;$M90,$R$79&lt;=$N90),$P90*($R$79-M90),"--")</f>
        <v>--</v>
      </c>
      <c r="S90" s="1049" t="str">
        <f>P90*100&amp;"% x (arbeidsinkomen - € "&amp;N89&amp;")"</f>
        <v>5,9% x (arbeidsinkomen - € 5548)</v>
      </c>
      <c r="T90" s="312">
        <f>IF(AND($T$79&gt;$M90,$T$79&lt;=$N90),O90+$P90*($T$79-M90),0)</f>
        <v>0</v>
      </c>
      <c r="U90" s="312" t="str">
        <f>IF(AND($U$79&gt;$M90,$U$79&lt;=$N90),$P90*($U$79-M90),"--")</f>
        <v>--</v>
      </c>
      <c r="V90" s="312" t="str">
        <f ca="1">IF(AND($V$79&gt;$M90,$V$79&lt;=$N90),$P90*($V$79-M90),"--")</f>
        <v>--</v>
      </c>
      <c r="W90" s="2265"/>
      <c r="AF90" s="2340"/>
    </row>
    <row r="91" spans="1:32" ht="15.75" thickBot="1" x14ac:dyDescent="0.3">
      <c r="A91" s="282">
        <v>57</v>
      </c>
      <c r="B91" s="696" t="s">
        <v>572</v>
      </c>
      <c r="C91" s="2367">
        <v>0</v>
      </c>
      <c r="D91" s="1033">
        <f>IF(BG60Jaaropgave1_AP&lt;&gt;0,"zie jaarloon (60)",IF(Basisgegevens!C$38="Maand",C91*12,IF(Basisgegevens!C$38="4 Weken",C91*13,IF(Basisgegevens!C$38="Weekloon",C91*52,0))))</f>
        <v>0</v>
      </c>
      <c r="E91" s="2370">
        <v>0</v>
      </c>
      <c r="F91" s="1033">
        <f>IF(BG60Jaaropgave1_AG&lt;&gt;0,"zie jaarloon (60)",IF(Basisgegevens!E$38="Maand",E91*12,IF(Basisgegevens!E$38="4 Weken",E91*13,IF(Basisgegevens!E$38="Weekloon",E91*52,0))))</f>
        <v>0</v>
      </c>
      <c r="G91" s="2742"/>
      <c r="H91" s="2743"/>
      <c r="I91" s="2743"/>
      <c r="J91" s="2744"/>
      <c r="M91" s="640">
        <f>N90</f>
        <v>29076</v>
      </c>
      <c r="N91" s="785">
        <v>0</v>
      </c>
      <c r="O91" s="1523">
        <v>1389</v>
      </c>
      <c r="P91" s="783"/>
      <c r="Q91" s="1093" t="str">
        <f>IF($Q$79&gt;$M91,$O91,"--")</f>
        <v>--</v>
      </c>
      <c r="R91" s="1094">
        <f>IF($R$79&gt;$M91,$O91,0)</f>
        <v>0</v>
      </c>
      <c r="S91" s="1051" t="str">
        <f>"€ "&amp;O91</f>
        <v>€ 1389</v>
      </c>
      <c r="T91" s="637" t="str">
        <f>IF($T$79&gt;$M91,$O91,"--")</f>
        <v>--</v>
      </c>
      <c r="U91" s="637">
        <f>IF($U$79&gt;$M91,$O91,0)</f>
        <v>0</v>
      </c>
      <c r="V91" s="637">
        <f ca="1">IF($V$79&gt;$M91,$O91,0)</f>
        <v>0</v>
      </c>
      <c r="W91" s="2265"/>
      <c r="AF91" s="2340"/>
    </row>
    <row r="92" spans="1:32" ht="15.75" thickBot="1" x14ac:dyDescent="0.3">
      <c r="A92" s="576">
        <v>58</v>
      </c>
      <c r="B92" s="697" t="s">
        <v>293</v>
      </c>
      <c r="C92" s="1377">
        <v>0</v>
      </c>
      <c r="D92" s="239">
        <f>IF(BG60Jaaropgave1_AP&lt;&gt;0,"zie jaarloon (60)",IF(Basisgegevens!C$38="Maand",C92*12,IF(Basisgegevens!C$38="4 Weken",C92*13,IF(Basisgegevens!C$38="Weekloon",C92*52,0))))</f>
        <v>0</v>
      </c>
      <c r="E92" s="361">
        <v>0</v>
      </c>
      <c r="F92" s="239">
        <f>IF(BG60Jaaropgave1_AG&lt;&gt;0,"zie jaarloon (60)",IF(Basisgegevens!E$38="Maand",E92*12,IF(Basisgegevens!E$38="4 Weken",E92*13,IF(Basisgegevens!E$38="Weekloon",E92*52,0))))</f>
        <v>0</v>
      </c>
      <c r="G92" s="2804"/>
      <c r="H92" s="2805"/>
      <c r="I92" s="2805"/>
      <c r="J92" s="2806"/>
      <c r="M92" s="2676" t="s">
        <v>135</v>
      </c>
      <c r="N92" s="2702"/>
      <c r="O92" s="2702"/>
      <c r="P92" s="2703"/>
      <c r="Q92" s="429" t="str">
        <f>IF($Q$75="Ja",IF(BGAOWLeeftijdBereikt_AP="Nee","zie WERK-tabel",SUM(Q89:Q91)),"n.v.t")</f>
        <v>n.v.t</v>
      </c>
      <c r="R92" s="429" t="str">
        <f>IF($R$75="Ja",IF(BGAOWLeeftijdBereikt_AG="Nee","zie WERK-tabel",SUM(R89:R91)),"n.v.t")</f>
        <v>n.v.t</v>
      </c>
      <c r="T92" s="42" t="str">
        <f>IF($Q$75="Ja",IF(BGAOWLeeftijdBereikt_AP="Nee","zie WERK-tabel",SUM(T89:T91)),"n.v.t")</f>
        <v>n.v.t</v>
      </c>
      <c r="U92" s="427" t="str">
        <f>IF($R$75="Ja",IF(BGAOWLeeftijdBereikt_AG="Nee","zie WERK-tabel",SUM(U89:U91)),"n.v.t")</f>
        <v>n.v.t</v>
      </c>
      <c r="V92" s="427" t="str">
        <f>IF($R$75="Ja",IF(BGAOWLeeftijdBereikt_AG="Nee","zie WERK-tabel",SUM(V89:V91)),"n.v.t")</f>
        <v>n.v.t</v>
      </c>
      <c r="W92" s="2265"/>
      <c r="AF92" s="2340"/>
    </row>
    <row r="93" spans="1:32" ht="15.75" thickBot="1" x14ac:dyDescent="0.3">
      <c r="AB93" s="18"/>
      <c r="AF93" s="2340"/>
    </row>
    <row r="94" spans="1:32" ht="15.75" customHeight="1" thickBot="1" x14ac:dyDescent="0.3">
      <c r="B94" s="685" t="s">
        <v>667</v>
      </c>
      <c r="C94" s="64" t="str">
        <f>BGPartnerAP</f>
        <v>AP</v>
      </c>
      <c r="E94" s="22" t="str">
        <f>BGPartnerAG</f>
        <v>AG</v>
      </c>
      <c r="M94" s="13" t="s">
        <v>446</v>
      </c>
      <c r="N94" s="12"/>
      <c r="O94" s="32" t="s">
        <v>837</v>
      </c>
      <c r="T94" s="2681" t="s">
        <v>510</v>
      </c>
      <c r="U94" s="2682"/>
      <c r="V94" s="557" t="s">
        <v>512</v>
      </c>
      <c r="Y94" s="2662" t="s">
        <v>965</v>
      </c>
      <c r="Z94" s="2663"/>
      <c r="AF94" s="2340"/>
    </row>
    <row r="95" spans="1:32" ht="15.75" thickBot="1" x14ac:dyDescent="0.3">
      <c r="A95" s="9" t="s">
        <v>249</v>
      </c>
      <c r="B95" s="111" t="s">
        <v>158</v>
      </c>
      <c r="C95" s="27" t="str">
        <f>C55</f>
        <v>Maandloon</v>
      </c>
      <c r="D95" s="22" t="s">
        <v>98</v>
      </c>
      <c r="E95" s="122" t="str">
        <f>E55</f>
        <v>Maandloon</v>
      </c>
      <c r="F95" s="22" t="s">
        <v>318</v>
      </c>
      <c r="G95" s="2720" t="s">
        <v>215</v>
      </c>
      <c r="H95" s="2721"/>
      <c r="I95" s="2721"/>
      <c r="J95" s="2722"/>
      <c r="L95" s="2">
        <v>115</v>
      </c>
      <c r="M95" s="2"/>
      <c r="N95" s="2"/>
      <c r="O95" s="2"/>
      <c r="S95" s="337" t="s">
        <v>199</v>
      </c>
      <c r="T95" s="555">
        <f>Jusvergelijking!C57</f>
        <v>0</v>
      </c>
      <c r="U95" s="554">
        <f>Jusvergelijking!E57</f>
        <v>0</v>
      </c>
      <c r="V95" s="496">
        <f ca="1">Behoefteberekening!F12-(Behoefteberekening!F56-Behoefteberekening!F58-Behoefteberekening!F60+SUBSTITUTE(Behoefteberekening!F61,"n.v.t",0))</f>
        <v>0</v>
      </c>
      <c r="W95" s="2657" t="s">
        <v>1125</v>
      </c>
      <c r="X95" s="2657" t="s">
        <v>1125</v>
      </c>
      <c r="Y95" s="2660" t="s">
        <v>964</v>
      </c>
      <c r="Z95" s="2661"/>
      <c r="AF95" s="2340"/>
    </row>
    <row r="96" spans="1:32" ht="15.75" thickBot="1" x14ac:dyDescent="0.3">
      <c r="A96" s="283">
        <v>49</v>
      </c>
      <c r="B96" s="694" t="s">
        <v>61</v>
      </c>
      <c r="C96" s="2365">
        <v>0</v>
      </c>
      <c r="D96" s="1032">
        <f>IF(BG60Jaaropgave2_AP&lt;&gt;0,"zie jaarloon (60)",IF(Basisgegevens!C$54="Maand",C96*12,IF(Basisgegevens!C$54="4 Weken",C96*13,IF(Basisgegevens!C$54="Weekloon",C96*52,0))))</f>
        <v>0</v>
      </c>
      <c r="E96" s="2368">
        <v>0</v>
      </c>
      <c r="F96" s="1032">
        <f>IF(BG60Jaaropgave2_AG&lt;&gt;0,"zie jaarloon (60)",IF(Basisgegevens!E$54="Maand",E96*12,IF(Basisgegevens!E$54="4 Weken",E96*13,IF(Basisgegevens!E$54="Weekloon",E96*52,0))))</f>
        <v>0</v>
      </c>
      <c r="G96" s="2739" t="s">
        <v>458</v>
      </c>
      <c r="H96" s="2740"/>
      <c r="I96" s="2740"/>
      <c r="J96" s="2741"/>
      <c r="O96" s="2697" t="s">
        <v>199</v>
      </c>
      <c r="P96" s="2698"/>
      <c r="Q96" s="427">
        <f>ROUND(AL94VerzInkomen_AP,0)</f>
        <v>0</v>
      </c>
      <c r="R96" s="564">
        <f>AL94VerzInkomen_AG</f>
        <v>0</v>
      </c>
      <c r="S96" s="61" t="s">
        <v>200</v>
      </c>
      <c r="T96" s="2660" t="s">
        <v>511</v>
      </c>
      <c r="U96" s="2722"/>
      <c r="V96" s="22" t="s">
        <v>491</v>
      </c>
      <c r="W96" s="2666"/>
      <c r="X96" s="2666"/>
      <c r="Y96" s="427">
        <f>Z5</f>
        <v>0</v>
      </c>
      <c r="Z96" s="427">
        <f>AA5</f>
        <v>0</v>
      </c>
      <c r="AF96" s="2340"/>
    </row>
    <row r="97" spans="1:32" ht="15.75" thickBot="1" x14ac:dyDescent="0.3">
      <c r="A97" s="283">
        <v>51</v>
      </c>
      <c r="B97" s="695" t="s">
        <v>250</v>
      </c>
      <c r="C97" s="2366">
        <v>0</v>
      </c>
      <c r="D97" s="1032">
        <f>IF(BG60Jaaropgave2_AP&lt;&gt;0,"zie jaarloon (60)",IF(Basisgegevens!C$54="Maand",C97*12,IF(Basisgegevens!C$54="4 Weken",C97*13,IF(Basisgegevens!C$54="Weekloon",C97*52,0))))</f>
        <v>0</v>
      </c>
      <c r="E97" s="2369">
        <v>0</v>
      </c>
      <c r="F97" s="1032">
        <f>IF(BG60Jaaropgave2_AG&lt;&gt;0,"zie jaarloon (60)",IF(Basisgegevens!E$54="Maand",E97*12,IF(Basisgegevens!E$54="4 Weken",E97*13,IF(Basisgegevens!E$54="Weekloon",E97*52,0))))</f>
        <v>0</v>
      </c>
      <c r="G97" s="2742" t="s">
        <v>458</v>
      </c>
      <c r="H97" s="2743"/>
      <c r="I97" s="2743"/>
      <c r="J97" s="2744"/>
      <c r="M97" s="14" t="s">
        <v>133</v>
      </c>
      <c r="N97" s="15" t="s">
        <v>71</v>
      </c>
      <c r="O97" s="37" t="s">
        <v>134</v>
      </c>
      <c r="P97" s="38" t="s">
        <v>81</v>
      </c>
      <c r="Q97" s="22" t="str">
        <f>BGPartnerAP</f>
        <v>AP</v>
      </c>
      <c r="R97" s="122" t="str">
        <f>BGPartnerAG</f>
        <v>AG</v>
      </c>
      <c r="S97" s="59" t="s">
        <v>215</v>
      </c>
      <c r="T97" s="22" t="str">
        <f>BGPartnerAP</f>
        <v>AP</v>
      </c>
      <c r="U97" s="122" t="str">
        <f>BGPartnerAG</f>
        <v>AG</v>
      </c>
      <c r="V97" s="22" t="str">
        <f>BGPartnerAG</f>
        <v>AG</v>
      </c>
      <c r="W97" s="22" t="str">
        <f>BGPartnerAP</f>
        <v>AP</v>
      </c>
      <c r="X97" s="71" t="str">
        <f>BGPartnerAG</f>
        <v>AG</v>
      </c>
      <c r="Y97" s="22" t="str">
        <f>BGPartnerAP</f>
        <v>AP</v>
      </c>
      <c r="Z97" s="71" t="str">
        <f>BGPartnerAG</f>
        <v>AG</v>
      </c>
      <c r="AF97" s="2340"/>
    </row>
    <row r="98" spans="1:32" x14ac:dyDescent="0.25">
      <c r="A98" s="282">
        <v>52</v>
      </c>
      <c r="B98" s="696" t="s">
        <v>290</v>
      </c>
      <c r="C98" s="2367">
        <v>0</v>
      </c>
      <c r="D98" s="1033">
        <f>IF(BG60Jaaropgave2_AP&lt;&gt;0,"zie jaarloon (60)",IF(Basisgegevens!C$54="Maand",C98*12,IF(Basisgegevens!C$54="4 Weken",C98*13,IF(Basisgegevens!C$54="Weekloon",C98*52,0))))</f>
        <v>0</v>
      </c>
      <c r="E98" s="2370">
        <v>0</v>
      </c>
      <c r="F98" s="1033">
        <f>IF(BG60Jaaropgave2_AG&lt;&gt;0,"zie jaarloon (60)",IF(Basisgegevens!E$54="Maand",E98*12,IF(Basisgegevens!E$54="4 Weken",E98*13,IF(Basisgegevens!E$54="Weekloon",E98*52,0))))</f>
        <v>0</v>
      </c>
      <c r="G98" s="2742" t="s">
        <v>458</v>
      </c>
      <c r="H98" s="2743"/>
      <c r="I98" s="2743"/>
      <c r="J98" s="2744"/>
      <c r="M98" s="428">
        <v>0</v>
      </c>
      <c r="N98" s="744">
        <v>22661</v>
      </c>
      <c r="O98" s="1090">
        <v>3070</v>
      </c>
      <c r="P98" s="780"/>
      <c r="Q98" s="515" t="str">
        <f>IF(AND($Q$96&lt;&gt;$M98,$Q$96&lt;=$N98),$O98,"--")</f>
        <v>--</v>
      </c>
      <c r="R98" s="641" t="str">
        <f>IF(AND($R$96&lt;&gt;$M98,$R$96&lt;=$N98),$O98,"--")</f>
        <v>--</v>
      </c>
      <c r="S98" s="125"/>
      <c r="T98" s="515" t="str">
        <f>IF(AND($T$95&lt;&gt;$M98,$T$95&lt;=$N98),$O98,"--")</f>
        <v>--</v>
      </c>
      <c r="U98" s="515" t="str">
        <f>IF(AND($U$95&lt;&gt;$M98,$U$95&lt;=$N98),$O98,"--")</f>
        <v>--</v>
      </c>
      <c r="V98" s="644" t="str">
        <f ca="1">IF(AND($V$95&lt;&gt;$M98,$V$95&lt;=$N98),$O98,"--")</f>
        <v>--</v>
      </c>
      <c r="W98" s="644" t="str">
        <f>IF(AND('Alimentatie 2023-02'!E129&lt;&gt;$M98,'Alimentatie 2023-02'!E129&lt;=$N98),$O98,"--")</f>
        <v>--</v>
      </c>
      <c r="X98" s="644" t="str">
        <f>IF(AND('Alimentatie 2023-02'!G129&lt;&gt;$M98,'Alimentatie 2023-02'!G129&lt;=$N98),$O98,"--")</f>
        <v>--</v>
      </c>
      <c r="Y98" s="515" t="str">
        <f>IF(AND($Y$96&lt;&gt;$M98,$Y$96&lt;=$N98),$O98,"--")</f>
        <v>--</v>
      </c>
      <c r="Z98" s="641" t="str">
        <f>IF(AND($Z$96&lt;&gt;$M98,$Z$96&lt;=$N98),$O98,"--")</f>
        <v>--</v>
      </c>
      <c r="AF98" s="2340"/>
    </row>
    <row r="99" spans="1:32" x14ac:dyDescent="0.25">
      <c r="A99" s="282">
        <v>53</v>
      </c>
      <c r="B99" s="696" t="s">
        <v>291</v>
      </c>
      <c r="C99" s="2367">
        <v>0</v>
      </c>
      <c r="D99" s="1033">
        <f>IF(BG60Jaaropgave2_AP&lt;&gt;0,"zie jaarloon (60)",IF(Basisgegevens!C$54="Maand",C99*12,IF(Basisgegevens!C$54="4 Weken",C99*13,IF(Basisgegevens!C$54="Weekloon",C99*52,0))))</f>
        <v>0</v>
      </c>
      <c r="E99" s="2370">
        <v>0</v>
      </c>
      <c r="F99" s="1033">
        <f>IF(BG60Jaaropgave2_AG&lt;&gt;0,"zie jaarloon (60)",IF(Basisgegevens!E$54="Maand",E99*12,IF(Basisgegevens!E$54="4 Weken",E99*13,IF(Basisgegevens!E$54="Weekloon",E99*52,0))))</f>
        <v>0</v>
      </c>
      <c r="G99" s="2742" t="s">
        <v>425</v>
      </c>
      <c r="H99" s="2743"/>
      <c r="I99" s="2743"/>
      <c r="J99" s="2744"/>
      <c r="M99" s="639">
        <f>N98</f>
        <v>22661</v>
      </c>
      <c r="N99" s="738">
        <v>73031</v>
      </c>
      <c r="O99" s="784">
        <v>0</v>
      </c>
      <c r="P99" s="782">
        <v>6.0949999999999997E-2</v>
      </c>
      <c r="Q99" s="516" t="str">
        <f>IF(AND($Q$96&gt;$M99,$Q$96&lt;=$N99),($O98-($P99*($Q$96-$M99))),"--")</f>
        <v>--</v>
      </c>
      <c r="R99" s="642" t="str">
        <f>IF(AND($R$96&gt;$M99,$R$96&lt;=$N99),($O98-($P99*($R$96-$M99))),"--")</f>
        <v>--</v>
      </c>
      <c r="S99" s="126"/>
      <c r="T99" s="516" t="str">
        <f>IF(AND($T$95&gt;$M99,$T$95&lt;=$N99),($O98-($P99*($T$95-$M99))),"--")</f>
        <v>--</v>
      </c>
      <c r="U99" s="516" t="str">
        <f>IF(AND($U$95&gt;$M99,$U$95&lt;=$N99),($O98-($P99*($U$95-$M99))),"--")</f>
        <v>--</v>
      </c>
      <c r="V99" s="645" t="str">
        <f ca="1">IF(AND($V$95&gt;$M99,$V$95&lt;=$N99),($O98-($P99*($V$95-$M99))),"--")</f>
        <v>--</v>
      </c>
      <c r="W99" s="645" t="str">
        <f>IF(AND('Alimentatie 2023-02'!E129&gt;$M99,'Alimentatie 2023-02'!E129&lt;=$N99),($O98-($P99*('Alimentatie 2023-02'!E129-$M99))),"--")</f>
        <v>--</v>
      </c>
      <c r="X99" s="645" t="str">
        <f>IF(AND('Alimentatie 2023-02'!G129&gt;$M99,'Alimentatie 2023-02'!G129&lt;=$N99),($O98-($P99*('Alimentatie 2023-02'!G129-$M99))),"--")</f>
        <v>--</v>
      </c>
      <c r="Y99" s="516" t="str">
        <f>IF(AND($Y$96&gt;$M99,$Y$96&lt;=$N99),($O98-($P99*($Y$96-$M99))),"--")</f>
        <v>--</v>
      </c>
      <c r="Z99" s="642" t="str">
        <f>IF(AND($Z$96&gt;$M99,$Z$96&lt;=$N99),($O98-($P99*($Z$96-$M99))),"--")</f>
        <v>--</v>
      </c>
      <c r="AF99" s="2340"/>
    </row>
    <row r="100" spans="1:32" ht="15.75" thickBot="1" x14ac:dyDescent="0.3">
      <c r="A100" s="282">
        <v>55</v>
      </c>
      <c r="B100" s="696" t="s">
        <v>65</v>
      </c>
      <c r="C100" s="1715">
        <v>0</v>
      </c>
      <c r="D100" s="1033">
        <f>IF(BG60Jaaropgave2_AP&lt;&gt;0,"zie jaarloon (60)",IF(Basisgegevens!C$54="Maand",C100*12,IF(Basisgegevens!C$54="4 Weken",C100*13,IF(Basisgegevens!C$54="Weekloon",C100*52,0))))</f>
        <v>0</v>
      </c>
      <c r="E100" s="1715">
        <v>0</v>
      </c>
      <c r="F100" s="1033">
        <f>IF(BG60Jaaropgave2_AG&lt;&gt;0,"zie jaarloon (60)",IF(Basisgegevens!E$54="Maand",E100*12,IF(Basisgegevens!E$54="4 Weken",E100*13,IF(Basisgegevens!E$54="Weekloon",E100*52,0))))</f>
        <v>0</v>
      </c>
      <c r="G100" s="2742" t="s">
        <v>693</v>
      </c>
      <c r="H100" s="2743"/>
      <c r="I100" s="2743"/>
      <c r="J100" s="2744"/>
      <c r="L100" s="21"/>
      <c r="M100" s="640">
        <f>N99</f>
        <v>73031</v>
      </c>
      <c r="N100" s="785">
        <v>0</v>
      </c>
      <c r="O100" s="785">
        <v>0</v>
      </c>
      <c r="P100" s="783"/>
      <c r="Q100" s="643">
        <v>0</v>
      </c>
      <c r="R100" s="570">
        <v>0</v>
      </c>
      <c r="S100" s="127"/>
      <c r="T100" s="646">
        <v>0</v>
      </c>
      <c r="U100" s="646">
        <v>0</v>
      </c>
      <c r="V100" s="646">
        <v>0</v>
      </c>
      <c r="W100" s="646">
        <f>Q100</f>
        <v>0</v>
      </c>
      <c r="X100" s="646">
        <f>R100</f>
        <v>0</v>
      </c>
      <c r="Y100" s="646">
        <f>S100</f>
        <v>0</v>
      </c>
      <c r="Z100" s="646">
        <f>T100</f>
        <v>0</v>
      </c>
      <c r="AF100" s="2340"/>
    </row>
    <row r="101" spans="1:32" ht="15.75" thickBot="1" x14ac:dyDescent="0.3">
      <c r="A101" s="282">
        <v>56</v>
      </c>
      <c r="B101" s="696" t="s">
        <v>292</v>
      </c>
      <c r="C101" s="2367">
        <v>0</v>
      </c>
      <c r="D101" s="1033">
        <f>IF(BG60Jaaropgave2_AP&lt;&gt;0,"zie jaarloon (60)",IF(Basisgegevens!C$54="Maand",C101*12,IF(Basisgegevens!C$54="4 Weken",C101*13,IF(Basisgegevens!C$54="Weekloon",C101*52,0))))</f>
        <v>0</v>
      </c>
      <c r="E101" s="2370">
        <v>0</v>
      </c>
      <c r="F101" s="1033">
        <f>IF(BG60Jaaropgave2_AG&lt;&gt;0,"zie jaarloon (60)",IF(Basisgegevens!E$54="Maand",E101*12,IF(Basisgegevens!E$54="4 Weken",E101*13,IF(Basisgegevens!E$54="Weekloon",E101*52,0))))</f>
        <v>0</v>
      </c>
      <c r="G101" s="2742" t="s">
        <v>426</v>
      </c>
      <c r="H101" s="2743"/>
      <c r="I101" s="2743"/>
      <c r="J101" s="2744"/>
      <c r="M101" s="2692" t="s">
        <v>135</v>
      </c>
      <c r="N101" s="2693"/>
      <c r="O101" s="2693"/>
      <c r="P101" s="2693"/>
      <c r="Q101" s="364">
        <f>IF(BGAOWLeeftijdBereikt_AP="Ja","Zie AOW-tabel",SUM(Q98:Q100))</f>
        <v>0</v>
      </c>
      <c r="R101" s="565">
        <f>IF(BGAOWLeeftijdBereikt_AG="Ja","Zie AOW-tabel",SUM(R98:R100))</f>
        <v>0</v>
      </c>
      <c r="S101" s="128"/>
      <c r="T101" s="427">
        <f>IF(BGAOWLeeftijdBereikt_AP="Ja","Zie AOW-tabel",SUM(T98:T100))</f>
        <v>0</v>
      </c>
      <c r="U101" s="427">
        <f>IF(BGAOWLeeftijdBereikt_AG="Ja","Zie AOW-tabel",SUM(U98:U100))</f>
        <v>0</v>
      </c>
      <c r="V101" s="427">
        <f ca="1">IF(BGAOWLeeftijdBereikt_AG="Ja","Zie AOW-tabel",SUM(V98:V100))</f>
        <v>0</v>
      </c>
      <c r="W101" s="427">
        <f>IF(BGAOWLeeftijdBereikt_AP="Ja","Zie AOW-tabel",SUM(W98:W100))</f>
        <v>0</v>
      </c>
      <c r="X101" s="427">
        <f>IF(BGAOWLeeftijdBereikt_AG="Ja","Zie AOW-tabel",SUM(X98:X100))</f>
        <v>0</v>
      </c>
      <c r="Y101" s="427">
        <f>IF(BGAOWLeeftijdBereikt_AP="Ja","Zie AOW-tabel",SUM(Y98:Y100))</f>
        <v>0</v>
      </c>
      <c r="Z101" s="427">
        <f>IF(BGAOWLeeftijdBereikt_AG="Ja","Zie AOW-tabel",SUM(Z98:Z100))</f>
        <v>0</v>
      </c>
      <c r="AF101" s="2340"/>
    </row>
    <row r="102" spans="1:32" ht="15.75" thickBot="1" x14ac:dyDescent="0.3">
      <c r="A102" s="282">
        <v>57</v>
      </c>
      <c r="B102" s="696" t="s">
        <v>572</v>
      </c>
      <c r="C102" s="2367">
        <v>0</v>
      </c>
      <c r="D102" s="1033">
        <f>IF(BG60Jaaropgave2_AP&lt;&gt;0,"zie jaarloon (60)",IF(Basisgegevens!C$54="Maand",C102*12,IF(Basisgegevens!C$54="4 Weken",C102*13,IF(Basisgegevens!C$54="Weekloon",C102*52,0))))</f>
        <v>0</v>
      </c>
      <c r="E102" s="2370">
        <v>0</v>
      </c>
      <c r="F102" s="1033">
        <f>IF(BG60Jaaropgave2_AG&lt;&gt;0,"zie jaarloon (60)",IF(Basisgegevens!E$54="Maand",E102*12,IF(Basisgegevens!E$54="4 Weken",E102*13,IF(Basisgegevens!E$54="Weekloon",E102*52,0))))</f>
        <v>0</v>
      </c>
      <c r="G102" s="2742"/>
      <c r="H102" s="2743"/>
      <c r="I102" s="2743"/>
      <c r="J102" s="2744"/>
      <c r="M102" s="2694" t="str">
        <f>"Formule regel 2: € "&amp;O98&amp;" - "&amp;P99*100&amp;"% x (belastbaar inkomen uit werk en woning - € "&amp;M99-1</f>
        <v>Formule regel 2: € 3070 - 6,095% x (belastbaar inkomen uit werk en woning - € 22660</v>
      </c>
      <c r="N102" s="2695"/>
      <c r="O102" s="2695"/>
      <c r="P102" s="2695"/>
      <c r="Q102" s="2695"/>
      <c r="R102" s="2696"/>
      <c r="AF102" s="2340"/>
    </row>
    <row r="103" spans="1:32" ht="15.75" customHeight="1" thickBot="1" x14ac:dyDescent="0.3">
      <c r="A103" s="576">
        <v>58</v>
      </c>
      <c r="B103" s="697" t="s">
        <v>293</v>
      </c>
      <c r="C103" s="1377">
        <v>0</v>
      </c>
      <c r="D103" s="239">
        <f>IF(BG60Jaaropgave2_AP&lt;&gt;0,"zie jaarloon (60)",IF(Basisgegevens!C$54="Maand",C103*12,IF(Basisgegevens!C$54="4 Weken",C103*13,IF(Basisgegevens!C$54="Weekloon",C103*52,0))))</f>
        <v>0</v>
      </c>
      <c r="E103" s="361">
        <v>0</v>
      </c>
      <c r="F103" s="239">
        <f>IF(BG60Jaaropgave2_AG&lt;&gt;0,"zie jaarloon (60)",IF(Basisgegevens!E$54="Maand",E103*12,IF(Basisgegevens!E$54="4 Weken",E103*13,IF(Basisgegevens!E$54="Weekloon",E103*52,0))))</f>
        <v>0</v>
      </c>
      <c r="G103" s="2804"/>
      <c r="H103" s="2805"/>
      <c r="I103" s="2805"/>
      <c r="J103" s="2806"/>
      <c r="N103" s="102"/>
      <c r="Q103" s="102"/>
      <c r="R103" s="121"/>
      <c r="AF103" s="2340"/>
    </row>
    <row r="104" spans="1:32" ht="15.75" thickBot="1" x14ac:dyDescent="0.3">
      <c r="L104" s="2">
        <v>115</v>
      </c>
      <c r="M104" s="13" t="s">
        <v>445</v>
      </c>
      <c r="N104" s="12"/>
      <c r="O104" s="32" t="s">
        <v>837</v>
      </c>
      <c r="T104" s="2681" t="s">
        <v>510</v>
      </c>
      <c r="U104" s="2682"/>
      <c r="V104" s="557" t="s">
        <v>512</v>
      </c>
      <c r="W104" s="2657" t="s">
        <v>1125</v>
      </c>
      <c r="X104" s="2657" t="s">
        <v>1125</v>
      </c>
      <c r="Y104" s="2662" t="s">
        <v>965</v>
      </c>
      <c r="Z104" s="2663"/>
      <c r="AF104" s="2340"/>
    </row>
    <row r="105" spans="1:32" ht="15.75" thickBot="1" x14ac:dyDescent="0.3">
      <c r="B105" s="906" t="s">
        <v>621</v>
      </c>
      <c r="C105" s="64" t="str">
        <f>BGPartnerAP</f>
        <v>AP</v>
      </c>
      <c r="E105" s="22" t="str">
        <f>BGPartnerAG</f>
        <v>AG</v>
      </c>
      <c r="O105" s="337"/>
      <c r="P105" s="337"/>
      <c r="Q105" s="156"/>
      <c r="R105" s="156"/>
      <c r="S105" s="61"/>
      <c r="T105" s="2660" t="s">
        <v>511</v>
      </c>
      <c r="U105" s="2722"/>
      <c r="V105" s="22" t="s">
        <v>491</v>
      </c>
      <c r="W105" s="2658"/>
      <c r="X105" s="2666"/>
      <c r="Y105" s="2660" t="s">
        <v>964</v>
      </c>
      <c r="Z105" s="2661"/>
      <c r="AF105" s="2340"/>
    </row>
    <row r="106" spans="1:32" ht="15.75" thickBot="1" x14ac:dyDescent="0.3">
      <c r="A106" s="9" t="s">
        <v>249</v>
      </c>
      <c r="B106" s="111" t="s">
        <v>158</v>
      </c>
      <c r="C106" s="22" t="s">
        <v>56</v>
      </c>
      <c r="D106" s="122" t="s">
        <v>98</v>
      </c>
      <c r="E106" s="27" t="s">
        <v>56</v>
      </c>
      <c r="F106" s="22" t="s">
        <v>318</v>
      </c>
      <c r="G106" s="2720" t="s">
        <v>215</v>
      </c>
      <c r="H106" s="2721"/>
      <c r="I106" s="2721"/>
      <c r="J106" s="2722"/>
      <c r="M106" s="63" t="s">
        <v>133</v>
      </c>
      <c r="N106" s="55" t="s">
        <v>71</v>
      </c>
      <c r="O106" s="6" t="s">
        <v>134</v>
      </c>
      <c r="P106" s="56" t="s">
        <v>81</v>
      </c>
      <c r="Q106" s="27" t="str">
        <f>BGPartnerAP</f>
        <v>AP</v>
      </c>
      <c r="R106" s="22" t="str">
        <f>BGPartnerAG</f>
        <v>AG</v>
      </c>
      <c r="S106" s="363" t="s">
        <v>215</v>
      </c>
      <c r="T106" s="60" t="str">
        <f>BGPartnerAP</f>
        <v>AP</v>
      </c>
      <c r="U106" s="60" t="str">
        <f>BGPartnerAG</f>
        <v>AG</v>
      </c>
      <c r="V106" s="22" t="str">
        <f>BGPartnerAG</f>
        <v>AG</v>
      </c>
      <c r="W106" s="22" t="str">
        <f>BGPartnerAP</f>
        <v>AP</v>
      </c>
      <c r="X106" s="71" t="str">
        <f>BGPartnerAG</f>
        <v>AG</v>
      </c>
      <c r="Y106" s="22" t="str">
        <f>BGPartnerAP</f>
        <v>AP</v>
      </c>
      <c r="Z106" s="71" t="str">
        <f>BGPartnerAG</f>
        <v>AG</v>
      </c>
      <c r="AF106" s="2340"/>
    </row>
    <row r="107" spans="1:32" x14ac:dyDescent="0.25">
      <c r="A107" s="283">
        <v>49</v>
      </c>
      <c r="B107" s="694" t="s">
        <v>61</v>
      </c>
      <c r="C107" s="894">
        <f>C85+C96</f>
        <v>0</v>
      </c>
      <c r="D107" s="1032">
        <f t="shared" ref="D107:D114" si="26">IF(AND(BG60Jaaropgave1_AP&lt;&gt;0,BG60Jaaropgave2_AP&lt;&gt;0),"zie jaarloon (60)",IF(AND(BG60Jaaropgave1_AP&lt;&gt;0,BG60Jaaropgave2_AP=0),D96,IF(AND(BG60Jaaropgave1_AP=0,BG60Jaaropgave2_AP&lt;&gt;0),D85,D85+D96)))</f>
        <v>0</v>
      </c>
      <c r="E107" s="894">
        <f>E85+E96</f>
        <v>0</v>
      </c>
      <c r="F107" s="1032">
        <f t="shared" ref="F107:F114" si="27">IF(AND(BG60Jaaropgave1_AG&lt;&gt;0,BG60Jaaropgave2_AG&lt;&gt;0),"zie jaarloon (60)",IF(AND(BG60Jaaropgave1_AG&lt;&gt;0,BG60Jaaropgave2_AG=0),F96,IF(AND(BG60Jaaropgave1_AG=0,BG60Jaaropgave2_AG&lt;&gt;0),F85,F85+F96)))</f>
        <v>0</v>
      </c>
      <c r="G107" s="2739" t="s">
        <v>1058</v>
      </c>
      <c r="H107" s="2740"/>
      <c r="I107" s="2740"/>
      <c r="J107" s="2741"/>
      <c r="M107" s="428">
        <v>0</v>
      </c>
      <c r="N107" s="744">
        <v>22661</v>
      </c>
      <c r="O107" s="1090">
        <v>1583</v>
      </c>
      <c r="P107" s="780"/>
      <c r="Q107" s="515" t="str">
        <f>IF(AND($Q$96&lt;&gt;$M107,$Q$96&lt;=$N107),$O107,"--")</f>
        <v>--</v>
      </c>
      <c r="R107" s="641" t="str">
        <f>IF(AND($R$96&lt;&gt;$M107,$R$96&lt;=$N107),$O107,"--")</f>
        <v>--</v>
      </c>
      <c r="S107" s="125"/>
      <c r="T107" s="515" t="str">
        <f>IF(AND($T$95&lt;&gt;$M107,$T$95&lt;=$N107),$O107,"--")</f>
        <v>--</v>
      </c>
      <c r="U107" s="515" t="str">
        <f>IF(AND($U$95&lt;&gt;$M107,$U$95&lt;=$N107),$O107,"--")</f>
        <v>--</v>
      </c>
      <c r="V107" s="644" t="str">
        <f ca="1">IF(AND($V$95&lt;&gt;$M107,$V$95&lt;=$N107),$O107,"--")</f>
        <v>--</v>
      </c>
      <c r="W107" s="644" t="str">
        <f>IF(AND('Alimentatie 2023-02'!E129&lt;&gt;$M107,'Alimentatie 2023-02'!E129)&lt;=$N107,$O107,"--")</f>
        <v>--</v>
      </c>
      <c r="X107" s="644" t="str">
        <f>IF(AND('Alimentatie 2023-02'!G129&lt;&gt;$M107,'Alimentatie 2023-02'!G129&lt;=$N107),$O107,"--")</f>
        <v>--</v>
      </c>
      <c r="Y107" s="515" t="str">
        <f>IF(AND($Y$96&lt;&gt;$M107,$Y$96&lt;=$N107),$O107,"--")</f>
        <v>--</v>
      </c>
      <c r="Z107" s="641" t="str">
        <f>IF(AND($Z$96&lt;&gt;$M107,$Z$96&lt;=$N107),$O107,"--")</f>
        <v>--</v>
      </c>
      <c r="AF107" s="2340"/>
    </row>
    <row r="108" spans="1:32" x14ac:dyDescent="0.25">
      <c r="A108" s="283">
        <v>51</v>
      </c>
      <c r="B108" s="695" t="s">
        <v>250</v>
      </c>
      <c r="C108" s="894">
        <f t="shared" ref="C108:E114" si="28">C86+C97</f>
        <v>0</v>
      </c>
      <c r="D108" s="1032">
        <f t="shared" si="26"/>
        <v>0</v>
      </c>
      <c r="E108" s="894">
        <f t="shared" si="28"/>
        <v>0</v>
      </c>
      <c r="F108" s="1032">
        <f t="shared" si="27"/>
        <v>0</v>
      </c>
      <c r="G108" s="2742" t="s">
        <v>1058</v>
      </c>
      <c r="H108" s="2743"/>
      <c r="I108" s="2743"/>
      <c r="J108" s="2744"/>
      <c r="M108" s="639">
        <f>N107</f>
        <v>22661</v>
      </c>
      <c r="N108" s="738">
        <v>73031</v>
      </c>
      <c r="O108" s="784">
        <v>0</v>
      </c>
      <c r="P108" s="782">
        <v>3.141E-2</v>
      </c>
      <c r="Q108" s="516" t="str">
        <f>IF(AND($Q$96&gt;$M108,$Q$96&lt;=$N108),($O107-($P108*($Q$96-$M108))),"--")</f>
        <v>--</v>
      </c>
      <c r="R108" s="642" t="str">
        <f>IF(AND($R$96&gt;$M108,$R$96&lt;=$N108),($O107-($P108*($R$96-$M108))),"--")</f>
        <v>--</v>
      </c>
      <c r="S108" s="126"/>
      <c r="T108" s="516" t="str">
        <f>IF(AND($T$95&gt;$M108,$T$95&lt;=$N108),($O107-($P108*($T$95-$M108))),"--")</f>
        <v>--</v>
      </c>
      <c r="U108" s="516" t="str">
        <f>IF(AND($U$95&gt;$M108,$U$95&lt;=$N108),($O107-($P108*($U$95-$M108))),"--")</f>
        <v>--</v>
      </c>
      <c r="V108" s="645" t="str">
        <f ca="1">IF(AND($V$95&gt;$M108,$V$95&lt;=$N108),($O107-($P108*($V$95-$M108))),"--")</f>
        <v>--</v>
      </c>
      <c r="W108" s="645" t="str">
        <f>IF(AND('Alimentatie 2023-02'!E129&gt;$M108,'Alimentatie 2023-02'!E129&lt;=$N108),($O107-($P108*('Alimentatie 2023-02'!E129-$M108))),"--")</f>
        <v>--</v>
      </c>
      <c r="X108" s="645" t="str">
        <f>IF(AND('Alimentatie 2023-02'!G129&gt;$M108,'Alimentatie 2023-02'!G129&lt;=$N108),($O107-($P108*('Alimentatie 2023-02'!G129-$M108))),"--")</f>
        <v>--</v>
      </c>
      <c r="Y108" s="516" t="str">
        <f>IF(AND($Y$96&gt;$M108,$Y$96&lt;=$N108),($O107-($P108*($Y$96-$M108))),"--")</f>
        <v>--</v>
      </c>
      <c r="Z108" s="642" t="str">
        <f>IF(AND($Z$96&gt;$M108,$Z$96&lt;=$N108),($O107-($P108*($Z$96-$M108))),"--")</f>
        <v>--</v>
      </c>
      <c r="AF108" s="2340"/>
    </row>
    <row r="109" spans="1:32" ht="15.75" thickBot="1" x14ac:dyDescent="0.3">
      <c r="A109" s="282">
        <v>52</v>
      </c>
      <c r="B109" s="696" t="s">
        <v>290</v>
      </c>
      <c r="C109" s="907">
        <f t="shared" si="28"/>
        <v>0</v>
      </c>
      <c r="D109" s="1033">
        <f t="shared" si="26"/>
        <v>0</v>
      </c>
      <c r="E109" s="907">
        <f t="shared" si="28"/>
        <v>0</v>
      </c>
      <c r="F109" s="1032">
        <f t="shared" si="27"/>
        <v>0</v>
      </c>
      <c r="G109" s="2742" t="s">
        <v>1058</v>
      </c>
      <c r="H109" s="2743"/>
      <c r="I109" s="2743"/>
      <c r="J109" s="2744"/>
      <c r="L109" s="21"/>
      <c r="M109" s="640">
        <f>N108</f>
        <v>73031</v>
      </c>
      <c r="N109" s="785">
        <v>0</v>
      </c>
      <c r="O109" s="785">
        <v>0</v>
      </c>
      <c r="P109" s="783"/>
      <c r="Q109" s="643">
        <v>0</v>
      </c>
      <c r="R109" s="570">
        <v>0</v>
      </c>
      <c r="S109" s="127"/>
      <c r="T109" s="646">
        <v>0</v>
      </c>
      <c r="U109" s="646">
        <v>0</v>
      </c>
      <c r="V109" s="646">
        <v>0</v>
      </c>
      <c r="W109" s="646">
        <f>Q109</f>
        <v>0</v>
      </c>
      <c r="X109" s="646">
        <f>R109</f>
        <v>0</v>
      </c>
      <c r="Y109" s="646">
        <f>S109</f>
        <v>0</v>
      </c>
      <c r="Z109" s="646">
        <f>T109</f>
        <v>0</v>
      </c>
      <c r="AF109" s="2340"/>
    </row>
    <row r="110" spans="1:32" ht="15.75" thickBot="1" x14ac:dyDescent="0.3">
      <c r="A110" s="282">
        <v>53</v>
      </c>
      <c r="B110" s="696" t="s">
        <v>291</v>
      </c>
      <c r="C110" s="907">
        <f t="shared" si="28"/>
        <v>0</v>
      </c>
      <c r="D110" s="1033">
        <f t="shared" si="26"/>
        <v>0</v>
      </c>
      <c r="E110" s="907">
        <f t="shared" si="28"/>
        <v>0</v>
      </c>
      <c r="F110" s="1032">
        <f t="shared" si="27"/>
        <v>0</v>
      </c>
      <c r="G110" s="2742" t="s">
        <v>1058</v>
      </c>
      <c r="H110" s="2743"/>
      <c r="I110" s="2743"/>
      <c r="J110" s="2744"/>
      <c r="M110" s="2692" t="s">
        <v>135</v>
      </c>
      <c r="N110" s="2693"/>
      <c r="O110" s="2693"/>
      <c r="P110" s="2693"/>
      <c r="Q110" s="563" t="str">
        <f>IF(BGAOWLeeftijdBereikt_AP="Nee","Zie WERK-tabel",SUM(Q107:Q109))</f>
        <v>Zie WERK-tabel</v>
      </c>
      <c r="R110" s="364" t="str">
        <f>IF(BGAOWLeeftijdBereikt_AG="Nee","Zie WERK-tabel",SUM(R107:R109))</f>
        <v>Zie WERK-tabel</v>
      </c>
      <c r="S110" s="128"/>
      <c r="T110" s="427" t="str">
        <f>IF(BGAOWLeeftijdBereikt_AP="Nee","Zie WERK-tabel",SUM(T107:T109))</f>
        <v>Zie WERK-tabel</v>
      </c>
      <c r="U110" s="427" t="str">
        <f>IF(BGAOWLeeftijdBereikt_AG="Nee","Zie WERK-tabel",SUM(U107:U109))</f>
        <v>Zie WERK-tabel</v>
      </c>
      <c r="V110" s="427" t="str">
        <f>IF(BGAOWLeeftijdBereikt_AG="Nee","Zie WERK-tabel",SUM(V107:V109))</f>
        <v>Zie WERK-tabel</v>
      </c>
      <c r="W110" s="427" t="str">
        <f>IF(BGAOWLeeftijdBereikt_AP="Nee","Zie WERK-tabel",SUM(W107:W109))</f>
        <v>Zie WERK-tabel</v>
      </c>
      <c r="X110" s="427" t="str">
        <f>IF(BGAOWLeeftijdBereikt_AG="Nee","Zie WERK-tabel",SUM(X107:X109))</f>
        <v>Zie WERK-tabel</v>
      </c>
      <c r="Y110" s="427" t="str">
        <f>IF(BGAOWLeeftijdBereikt_AP="Nee","Zie WERK-tabel",SUM(Y107:Y109))</f>
        <v>Zie WERK-tabel</v>
      </c>
      <c r="Z110" s="427" t="str">
        <f>IF(BGAOWLeeftijdBereikt_AG="Nee","Zie WERK-tabel",SUM(Z107:Z109))</f>
        <v>Zie WERK-tabel</v>
      </c>
      <c r="AF110" s="2340"/>
    </row>
    <row r="111" spans="1:32" ht="15.75" thickBot="1" x14ac:dyDescent="0.3">
      <c r="A111" s="282">
        <v>55</v>
      </c>
      <c r="B111" s="696" t="s">
        <v>65</v>
      </c>
      <c r="C111" s="907">
        <f t="shared" si="28"/>
        <v>0</v>
      </c>
      <c r="D111" s="1033">
        <f t="shared" si="26"/>
        <v>0</v>
      </c>
      <c r="E111" s="907">
        <f t="shared" si="28"/>
        <v>0</v>
      </c>
      <c r="F111" s="1032">
        <f t="shared" si="27"/>
        <v>0</v>
      </c>
      <c r="G111" s="2742" t="s">
        <v>1058</v>
      </c>
      <c r="H111" s="2743"/>
      <c r="I111" s="2743"/>
      <c r="J111" s="2744"/>
      <c r="M111" s="2694" t="str">
        <f>"Formule regel 2: € "&amp;O107&amp;" - "&amp;P108*100&amp;"% x (belastbaar inkomen uit werk en woning - € "&amp;M108-1</f>
        <v>Formule regel 2: € 1583 - 3,141% x (belastbaar inkomen uit werk en woning - € 22660</v>
      </c>
      <c r="N111" s="2695"/>
      <c r="O111" s="2695"/>
      <c r="P111" s="2695"/>
      <c r="Q111" s="2695"/>
      <c r="R111" s="2696"/>
      <c r="AF111" s="2340"/>
    </row>
    <row r="112" spans="1:32" ht="15.75" thickBot="1" x14ac:dyDescent="0.3">
      <c r="A112" s="282">
        <v>56</v>
      </c>
      <c r="B112" s="696" t="s">
        <v>292</v>
      </c>
      <c r="C112" s="907">
        <f t="shared" si="28"/>
        <v>0</v>
      </c>
      <c r="D112" s="1033">
        <f t="shared" si="26"/>
        <v>0</v>
      </c>
      <c r="E112" s="907">
        <f t="shared" si="28"/>
        <v>0</v>
      </c>
      <c r="F112" s="1032">
        <f t="shared" si="27"/>
        <v>0</v>
      </c>
      <c r="G112" s="2742" t="s">
        <v>1058</v>
      </c>
      <c r="H112" s="2743"/>
      <c r="I112" s="2743"/>
      <c r="J112" s="2744"/>
      <c r="R112" s="2"/>
      <c r="AF112" s="2340"/>
    </row>
    <row r="113" spans="1:32" ht="15" customHeight="1" thickBot="1" x14ac:dyDescent="0.3">
      <c r="A113" s="282">
        <v>57</v>
      </c>
      <c r="B113" s="696" t="s">
        <v>758</v>
      </c>
      <c r="C113" s="907">
        <f t="shared" si="28"/>
        <v>0</v>
      </c>
      <c r="D113" s="1033">
        <f t="shared" si="26"/>
        <v>0</v>
      </c>
      <c r="E113" s="907">
        <f t="shared" si="28"/>
        <v>0</v>
      </c>
      <c r="F113" s="1032">
        <f t="shared" si="27"/>
        <v>0</v>
      </c>
      <c r="G113" s="2742" t="s">
        <v>1058</v>
      </c>
      <c r="H113" s="2743"/>
      <c r="I113" s="2743"/>
      <c r="J113" s="2744"/>
      <c r="M113" s="2"/>
      <c r="N113" s="2"/>
      <c r="O113" s="2"/>
      <c r="P113" s="2"/>
      <c r="Q113" s="2"/>
      <c r="R113" s="2"/>
      <c r="T113" s="2681" t="s">
        <v>510</v>
      </c>
      <c r="U113" s="2682"/>
      <c r="AF113" s="2340"/>
    </row>
    <row r="114" spans="1:32" ht="15.75" thickBot="1" x14ac:dyDescent="0.3">
      <c r="A114" s="576">
        <v>58</v>
      </c>
      <c r="B114" s="697" t="s">
        <v>293</v>
      </c>
      <c r="C114" s="908">
        <f t="shared" si="28"/>
        <v>0</v>
      </c>
      <c r="D114" s="239">
        <f t="shared" si="26"/>
        <v>0</v>
      </c>
      <c r="E114" s="908">
        <f t="shared" si="28"/>
        <v>0</v>
      </c>
      <c r="F114" s="1032">
        <f t="shared" si="27"/>
        <v>0</v>
      </c>
      <c r="G114" s="2804" t="s">
        <v>1058</v>
      </c>
      <c r="H114" s="2805"/>
      <c r="I114" s="2805"/>
      <c r="J114" s="2806"/>
      <c r="L114" s="2">
        <v>115</v>
      </c>
      <c r="M114" s="24" t="s">
        <v>1059</v>
      </c>
      <c r="N114" s="25" t="s">
        <v>839</v>
      </c>
      <c r="O114" s="2689" t="s">
        <v>197</v>
      </c>
      <c r="P114" s="2690"/>
      <c r="Q114" s="561">
        <f>Q79</f>
        <v>0</v>
      </c>
      <c r="R114" s="561">
        <f>R79</f>
        <v>0</v>
      </c>
      <c r="S114" s="61" t="s">
        <v>680</v>
      </c>
      <c r="T114" s="427">
        <f>Q114</f>
        <v>0</v>
      </c>
      <c r="U114" s="560">
        <f>R114</f>
        <v>0</v>
      </c>
      <c r="V114" s="61" t="s">
        <v>1060</v>
      </c>
      <c r="AF114" s="2340"/>
    </row>
    <row r="115" spans="1:32" ht="15.75" thickBot="1" x14ac:dyDescent="0.3">
      <c r="M115" s="1095" t="s">
        <v>133</v>
      </c>
      <c r="N115" s="1096" t="s">
        <v>71</v>
      </c>
      <c r="O115" s="1096" t="s">
        <v>134</v>
      </c>
      <c r="P115" s="1097" t="s">
        <v>81</v>
      </c>
      <c r="Q115" s="22" t="str">
        <f>BGPartnerAP</f>
        <v>AP</v>
      </c>
      <c r="R115" s="71" t="str">
        <f>BGPartnerAG</f>
        <v>AG</v>
      </c>
      <c r="S115" s="52" t="s">
        <v>136</v>
      </c>
      <c r="T115" s="60" t="str">
        <f>BGPartnerAP</f>
        <v>AP</v>
      </c>
      <c r="U115" s="49" t="str">
        <f>BGPartnerAG</f>
        <v>AG</v>
      </c>
      <c r="AF115" s="2340"/>
    </row>
    <row r="116" spans="1:32" ht="15.75" thickBot="1" x14ac:dyDescent="0.3">
      <c r="A116" s="166">
        <v>42</v>
      </c>
      <c r="B116" s="107" t="s">
        <v>430</v>
      </c>
      <c r="C116" s="64" t="str">
        <f>BGPartnerAP</f>
        <v>AP</v>
      </c>
      <c r="E116" s="22" t="str">
        <f>BGPartnerAG</f>
        <v>AG</v>
      </c>
      <c r="M116" s="1098">
        <v>0</v>
      </c>
      <c r="N116" s="759">
        <v>10741</v>
      </c>
      <c r="O116" s="759">
        <v>0</v>
      </c>
      <c r="P116" s="1099">
        <v>8.2309999999999994E-2</v>
      </c>
      <c r="Q116" s="367">
        <f>IF(AND($Q$114&gt;$M116,$Q$114&lt;=$N116),P116*$Q$114,0)</f>
        <v>0</v>
      </c>
      <c r="R116" s="647">
        <f>IF(AND($R$114&gt;$M116,$R$114&lt;=$N116),P116*$R$114,0)</f>
        <v>0</v>
      </c>
      <c r="S116" s="1050" t="str">
        <f>P116*100&amp;"% x arbeidsinkomen (nr. 54 en 70 en 76)"</f>
        <v>8,231% x arbeidsinkomen (nr. 54 en 70 en 76)</v>
      </c>
      <c r="T116" s="367">
        <f>IF(AND($T$114&gt;$M116,$T$114&lt;=$N116),P116*$T$114,0)</f>
        <v>0</v>
      </c>
      <c r="U116" s="647">
        <f>IF(AND($U$114&gt;$M116,$U$114&lt;=$N116),P116*$U$114,0)</f>
        <v>0</v>
      </c>
      <c r="AF116" s="2340"/>
    </row>
    <row r="117" spans="1:32" ht="15.75" thickBot="1" x14ac:dyDescent="0.3">
      <c r="B117" s="278" t="s">
        <v>360</v>
      </c>
      <c r="C117" s="45" t="s">
        <v>95</v>
      </c>
      <c r="D117" s="2" t="s">
        <v>895</v>
      </c>
      <c r="E117" s="45" t="s">
        <v>95</v>
      </c>
      <c r="F117" s="2" t="s">
        <v>895</v>
      </c>
      <c r="M117" s="1100">
        <f>N116</f>
        <v>10741</v>
      </c>
      <c r="N117" s="739">
        <v>23201</v>
      </c>
      <c r="O117" s="739">
        <v>884</v>
      </c>
      <c r="P117" s="786">
        <v>0.29860999999999999</v>
      </c>
      <c r="Q117" s="368">
        <f>IF(AND($Q$114&gt;$M117,$Q$114&lt;=$N117),$O117+($P117*($Q$114-$M117)),0)</f>
        <v>0</v>
      </c>
      <c r="R117" s="648">
        <f>IF(AND($R$114&gt;$M117,$R$114&lt;=$N117),$O117+($P117*($R$114-$M117)),0)</f>
        <v>0</v>
      </c>
      <c r="S117" s="1049" t="str">
        <f>"€ "&amp;O117&amp;" + "&amp;P117*100&amp;"% x (arbeidsinkomen - € "&amp;M117&amp;")"</f>
        <v>€ 884 + 29,861% x (arbeidsinkomen - € 10741)</v>
      </c>
      <c r="T117" s="368">
        <f>IF(AND($T$114&gt;$M117,$T$114&lt;=$N117),$O117+($P117*($T$114-$M117)),0)</f>
        <v>0</v>
      </c>
      <c r="U117" s="648">
        <f>IF(AND($U$114&gt;$M117,$U$114&lt;=$N117),$O117+($P117*($U$114-$M117)),0)</f>
        <v>0</v>
      </c>
      <c r="AF117" s="2340"/>
    </row>
    <row r="118" spans="1:32" ht="15.75" thickBot="1" x14ac:dyDescent="0.3">
      <c r="A118" s="9" t="s">
        <v>249</v>
      </c>
      <c r="B118" s="111" t="s">
        <v>74</v>
      </c>
      <c r="C118" s="22" t="str">
        <f>IF(C117="Maand","Per Maand",IF(C117="4 Weken","Per 4-weken",IF(C117="Anders","Anders","")))</f>
        <v>Per Maand</v>
      </c>
      <c r="D118" s="122" t="s">
        <v>356</v>
      </c>
      <c r="E118" s="22" t="str">
        <f>IF(E117="Maand","Per Maand",IF(E117="4 Weken","Per 4-weken",IF(E117="Anders","Anders","")))</f>
        <v>Per Maand</v>
      </c>
      <c r="F118" s="71" t="s">
        <v>356</v>
      </c>
      <c r="G118" s="2720" t="s">
        <v>215</v>
      </c>
      <c r="H118" s="2721"/>
      <c r="I118" s="2721"/>
      <c r="J118" s="2722"/>
      <c r="M118" s="1100">
        <f>N117</f>
        <v>23201</v>
      </c>
      <c r="N118" s="739">
        <v>37691</v>
      </c>
      <c r="O118" s="1101">
        <v>4605</v>
      </c>
      <c r="P118" s="786">
        <v>3.0849999999999999E-2</v>
      </c>
      <c r="Q118" s="368">
        <f>IF(AND(Q$114&gt;$M118,Q$114&lt;=$N118),$O118+($P118*(Q$114-$M118)),0)</f>
        <v>0</v>
      </c>
      <c r="R118" s="648">
        <f>IF(AND($R$114&gt;$M118,$R$114&lt;=$N118),$O118+($P118*($R$114-$M118)),0)</f>
        <v>0</v>
      </c>
      <c r="S118" s="1049" t="str">
        <f>"€ "&amp;O118&amp;" + "&amp;P118*100&amp;"% x (arbeidsinkomen - € "&amp;M118&amp;")"</f>
        <v>€ 4605 + 3,085% x (arbeidsinkomen - € 23201)</v>
      </c>
      <c r="T118" s="368">
        <f>IF(AND(T$114&gt;$M118,T$114&lt;=$N118),$O118+($P118*(T$114-$M118)),0)</f>
        <v>0</v>
      </c>
      <c r="U118" s="648">
        <f>IF(AND($U$114&gt;$M118,$U$114&lt;=$N118),$O118+($P118*($U$114-$M118)),0)</f>
        <v>0</v>
      </c>
      <c r="AF118" s="2340"/>
    </row>
    <row r="119" spans="1:32" x14ac:dyDescent="0.25">
      <c r="A119" s="28"/>
      <c r="B119" s="112" t="s">
        <v>153</v>
      </c>
      <c r="C119" s="99">
        <v>0</v>
      </c>
      <c r="D119" s="978">
        <f>IF(C$117="Maand",C119*12,IF(C$117="Jaar",C119,0))</f>
        <v>0</v>
      </c>
      <c r="E119" s="99">
        <v>0</v>
      </c>
      <c r="F119" s="975">
        <f>IF(E$117="Maand",E119*12,IF(E$117="Jaar",E119,0))</f>
        <v>0</v>
      </c>
      <c r="G119" s="2739" t="s">
        <v>442</v>
      </c>
      <c r="H119" s="2740"/>
      <c r="I119" s="2740"/>
      <c r="J119" s="2741"/>
      <c r="M119" s="1100">
        <f>N118</f>
        <v>37691</v>
      </c>
      <c r="N119" s="739">
        <v>115295</v>
      </c>
      <c r="O119" s="739">
        <v>5052</v>
      </c>
      <c r="P119" s="786">
        <v>6.5100000000000005E-2</v>
      </c>
      <c r="Q119" s="368">
        <f>IF(AND($Q$114&gt;$M119,$Q$114&lt;=$N119),$O119-($P119*($Q$114-$M119)),0)</f>
        <v>0</v>
      </c>
      <c r="R119" s="648">
        <f>IF(AND($R$114&gt;$M119,$R$114&lt;=$N119),$O119-($P119*($R$114-$M119)),0)</f>
        <v>0</v>
      </c>
      <c r="S119" s="1049" t="str">
        <f>"€ "&amp;O119&amp;" - "&amp;P119*100&amp;"% x (arbeidsinkomen - € "&amp;M119&amp;")"</f>
        <v>€ 5052 - 6,51% x (arbeidsinkomen - € 37691)</v>
      </c>
      <c r="T119" s="368">
        <f>IF(AND($T$114&gt;$M119,$T$114&lt;=$N119),$O119-(P119*($T$114-M119)),0)</f>
        <v>0</v>
      </c>
      <c r="U119" s="648">
        <f>IF(AND($U$114&gt;$M119,$U$114&lt;=$N119),$O119-(P119*($U$114-M119)),0)</f>
        <v>0</v>
      </c>
      <c r="AF119" s="2340"/>
    </row>
    <row r="120" spans="1:32" ht="15.75" thickBot="1" x14ac:dyDescent="0.3">
      <c r="A120" s="174"/>
      <c r="B120" s="113" t="s">
        <v>1061</v>
      </c>
      <c r="C120" s="39">
        <v>0</v>
      </c>
      <c r="D120" s="979">
        <f>IF(C$117="Maand",C120*12,IF(C$117="Jaar",C120,0))</f>
        <v>0</v>
      </c>
      <c r="E120" s="39">
        <v>0</v>
      </c>
      <c r="F120" s="976">
        <f>IF(E$117="Maand",E120*12,IF(E$117="Jaar",E120,0))</f>
        <v>0</v>
      </c>
      <c r="G120" s="2804" t="s">
        <v>442</v>
      </c>
      <c r="H120" s="2805"/>
      <c r="I120" s="2805"/>
      <c r="J120" s="2806"/>
      <c r="L120" s="33"/>
      <c r="M120" s="1102">
        <f>N119</f>
        <v>115295</v>
      </c>
      <c r="N120" s="739" t="s">
        <v>72</v>
      </c>
      <c r="O120" s="739">
        <v>0</v>
      </c>
      <c r="P120" s="787"/>
      <c r="Q120" s="649">
        <v>0</v>
      </c>
      <c r="R120" s="650">
        <v>0</v>
      </c>
      <c r="S120" s="41"/>
      <c r="T120" s="649">
        <v>0</v>
      </c>
      <c r="U120" s="650">
        <v>0</v>
      </c>
      <c r="AF120" s="2340"/>
    </row>
    <row r="121" spans="1:32" ht="15.75" thickBot="1" x14ac:dyDescent="0.3">
      <c r="A121" s="633">
        <v>42</v>
      </c>
      <c r="B121" s="634" t="s">
        <v>766</v>
      </c>
      <c r="C121" s="635">
        <f>SUM(C119:C120)</f>
        <v>0</v>
      </c>
      <c r="D121" s="980">
        <f>SUM(D119:D120)</f>
        <v>0</v>
      </c>
      <c r="E121" s="635">
        <f>SUM(E119:E120)</f>
        <v>0</v>
      </c>
      <c r="F121" s="977">
        <f>SUM(F119:F120)</f>
        <v>0</v>
      </c>
      <c r="M121" s="2686" t="s">
        <v>135</v>
      </c>
      <c r="N121" s="2691"/>
      <c r="O121" s="2691"/>
      <c r="P121" s="2691"/>
      <c r="Q121" s="365">
        <f>IF(BGAOWLeeftijdBereikt_AP="Ja","Zie AOW-tabel",SUM(Q116:Q120))</f>
        <v>0</v>
      </c>
      <c r="R121" s="562">
        <f>IF(BGAOWLeeftijdBereikt_AG="Ja","Zie AOW-tabel",SUM(R116:R120))</f>
        <v>0</v>
      </c>
      <c r="T121" s="365">
        <f>IF(BGAOWLeeftijdBereikt_AP="Ja","Zie AOW-tabel",SUM(T116:T120))</f>
        <v>0</v>
      </c>
      <c r="U121" s="562">
        <f>IF(BGAOWLeeftijdBereikt_AG="Ja","Zie AOW-tabel",SUM(U116:U120))</f>
        <v>0</v>
      </c>
      <c r="AF121" s="2340"/>
    </row>
    <row r="122" spans="1:32" ht="15" customHeight="1" thickBot="1" x14ac:dyDescent="0.3">
      <c r="A122" s="1253">
        <v>51</v>
      </c>
      <c r="B122" s="112" t="s">
        <v>250</v>
      </c>
      <c r="C122" s="81">
        <v>0</v>
      </c>
      <c r="D122" s="50">
        <f>IF(C$117="Maand",C122*12,IF(C$117="Jaar",C122,0))</f>
        <v>0</v>
      </c>
      <c r="E122" s="81">
        <v>0</v>
      </c>
      <c r="F122" s="909">
        <f>IF(E$117="Maand",E122*12,IF(E$117="Jaar",E122,0))</f>
        <v>0</v>
      </c>
      <c r="G122" s="2781" t="s">
        <v>442</v>
      </c>
      <c r="H122" s="2763"/>
      <c r="I122" s="2763"/>
      <c r="J122" s="2696"/>
      <c r="M122" s="1081"/>
      <c r="N122" s="1081"/>
      <c r="O122" s="1081"/>
      <c r="P122" s="1081"/>
      <c r="AF122" s="2340"/>
    </row>
    <row r="123" spans="1:32" ht="15.75" thickBot="1" x14ac:dyDescent="0.3">
      <c r="A123" s="169">
        <v>57</v>
      </c>
      <c r="B123" s="1256" t="str">
        <f>"Ingehouden ZVW-premie a "&amp;C220*100&amp;"% over"</f>
        <v>Ingehouden ZVW-premie a 5,43% over</v>
      </c>
      <c r="C123" s="1257">
        <v>0</v>
      </c>
      <c r="D123" s="58">
        <f>IF(C$117="Maand",C123*12,IF(C$117="Jaar",C123,0))</f>
        <v>0</v>
      </c>
      <c r="E123" s="1257">
        <v>0</v>
      </c>
      <c r="F123" s="58">
        <f>IF(E$117="Maand",E123*12,IF(E$117="Jaar",E123,0))</f>
        <v>0</v>
      </c>
      <c r="G123" s="2827" t="s">
        <v>969</v>
      </c>
      <c r="H123" s="2828"/>
      <c r="I123" s="2828"/>
      <c r="J123" s="2829"/>
      <c r="L123" s="2">
        <v>115</v>
      </c>
      <c r="M123" s="24" t="s">
        <v>1062</v>
      </c>
      <c r="N123" s="25" t="s">
        <v>839</v>
      </c>
      <c r="O123" s="1103"/>
      <c r="P123" s="1103"/>
      <c r="Q123" s="156"/>
      <c r="R123" s="156"/>
      <c r="S123" s="61"/>
      <c r="AF123" s="2340"/>
    </row>
    <row r="124" spans="1:32" ht="15.75" thickBot="1" x14ac:dyDescent="0.3">
      <c r="C124" s="121"/>
      <c r="E124" s="121"/>
      <c r="M124" s="1095" t="s">
        <v>133</v>
      </c>
      <c r="N124" s="1096" t="s">
        <v>71</v>
      </c>
      <c r="O124" s="1096" t="s">
        <v>134</v>
      </c>
      <c r="P124" s="1097" t="s">
        <v>81</v>
      </c>
      <c r="Q124" s="22" t="str">
        <f>BGPartnerAP</f>
        <v>AP</v>
      </c>
      <c r="R124" s="71" t="str">
        <f>BGPartnerAG</f>
        <v>AG</v>
      </c>
      <c r="S124" s="52" t="s">
        <v>136</v>
      </c>
      <c r="T124" s="60" t="str">
        <f>BGPartnerAP</f>
        <v>AP</v>
      </c>
      <c r="U124" s="49" t="str">
        <f>BGPartnerAG</f>
        <v>AG</v>
      </c>
      <c r="AF124" s="2340"/>
    </row>
    <row r="125" spans="1:32" ht="15.75" thickBot="1" x14ac:dyDescent="0.3">
      <c r="A125" s="166">
        <v>43</v>
      </c>
      <c r="B125" s="107" t="s">
        <v>317</v>
      </c>
      <c r="C125" s="64" t="str">
        <f>BGPartnerAP</f>
        <v>AP</v>
      </c>
      <c r="E125" s="22" t="str">
        <f>BGPartnerAG</f>
        <v>AG</v>
      </c>
      <c r="M125" s="1098">
        <v>0</v>
      </c>
      <c r="N125" s="759">
        <v>10728</v>
      </c>
      <c r="O125" s="759">
        <v>0</v>
      </c>
      <c r="P125" s="1099">
        <v>4.2410000000000003E-2</v>
      </c>
      <c r="Q125" s="651">
        <f>IF(AND($Q$114&gt;$M125,$Q$114&lt;=$N125),P125*$Q$114,0)</f>
        <v>0</v>
      </c>
      <c r="R125" s="652">
        <f>IF(AND($R$114&gt;$M125,$R$114&lt;=$N125),P125*$R$114,0)</f>
        <v>0</v>
      </c>
      <c r="S125" s="1050" t="str">
        <f>P125*100&amp;"% x arbeidsinkomen (nr. 54 en 70 en 76)"</f>
        <v>4,241% x arbeidsinkomen (nr. 54 en 70 en 76)</v>
      </c>
      <c r="T125" s="367">
        <f>IF(AND($T$114&gt;$M125,$T$114&lt;=$N125),P125*$T$114,0)</f>
        <v>0</v>
      </c>
      <c r="U125" s="647">
        <f>IF(AND($U$114&gt;$M125,$U$114&lt;=$N125),P125*$U$114,0)</f>
        <v>0</v>
      </c>
      <c r="AF125" s="2340"/>
    </row>
    <row r="126" spans="1:32" ht="15" customHeight="1" thickBot="1" x14ac:dyDescent="0.3">
      <c r="B126" s="278" t="s">
        <v>360</v>
      </c>
      <c r="C126" s="45" t="s">
        <v>95</v>
      </c>
      <c r="D126" s="2" t="s">
        <v>895</v>
      </c>
      <c r="E126" s="45" t="s">
        <v>95</v>
      </c>
      <c r="F126" s="2" t="s">
        <v>895</v>
      </c>
      <c r="M126" s="1100">
        <f>N125</f>
        <v>10728</v>
      </c>
      <c r="N126" s="739">
        <v>23201</v>
      </c>
      <c r="O126" s="739">
        <v>457</v>
      </c>
      <c r="P126" s="786">
        <v>0.15387999999999999</v>
      </c>
      <c r="Q126" s="653">
        <f>IF(AND($Q$114&gt;$M126,$Q$114&lt;=$N126),$O126+($P126*($Q$114-$M126)),0)</f>
        <v>0</v>
      </c>
      <c r="R126" s="654">
        <f>IF(AND($R$114&gt;$M126,$R$114&lt;=$N126),$O126+($P126*($R$114-$M126)),0)</f>
        <v>0</v>
      </c>
      <c r="S126" s="1049" t="str">
        <f>"€ "&amp;O126&amp;" + "&amp;P126*100&amp;"% x (arbeidsinkomen - € "&amp;M126&amp;")"</f>
        <v>€ 457 + 15,388% x (arbeidsinkomen - € 10728)</v>
      </c>
      <c r="T126" s="368">
        <f>IF(AND($T$114&gt;$M126,$T$114&lt;=$N126),$O126+($P126*($T$114-$M126)),0)</f>
        <v>0</v>
      </c>
      <c r="U126" s="648">
        <f>IF(AND($U$114&gt;$M126,$U$114&lt;=$N126),$O126+($P126*($U$114-$M126)),0)</f>
        <v>0</v>
      </c>
      <c r="AF126" s="2340"/>
    </row>
    <row r="127" spans="1:32" ht="15.75" thickBot="1" x14ac:dyDescent="0.3">
      <c r="A127" s="9" t="s">
        <v>249</v>
      </c>
      <c r="B127" s="111" t="s">
        <v>74</v>
      </c>
      <c r="C127" s="22" t="str">
        <f>IF(C126="Maand","Per Maand",IF(C126="4 Weken","Per 4-weken",IF(C126="Anders","Anders","")))</f>
        <v>Per Maand</v>
      </c>
      <c r="D127" s="122" t="s">
        <v>356</v>
      </c>
      <c r="E127" s="22" t="str">
        <f>IF(E126="Maand","Per Maand",IF(E126="4 Weken","Per 4-weken",IF(E126="Anders","Anders","")))</f>
        <v>Per Maand</v>
      </c>
      <c r="F127" s="122" t="s">
        <v>356</v>
      </c>
      <c r="G127" s="2720" t="s">
        <v>215</v>
      </c>
      <c r="H127" s="2721"/>
      <c r="I127" s="2721"/>
      <c r="J127" s="2722"/>
      <c r="M127" s="1100">
        <f>N126</f>
        <v>23201</v>
      </c>
      <c r="N127" s="739">
        <v>37691</v>
      </c>
      <c r="O127" s="1101">
        <v>2374</v>
      </c>
      <c r="P127" s="786">
        <v>1.5890000000000001E-2</v>
      </c>
      <c r="Q127" s="653">
        <f>IF(AND($Q$114&gt;$M127,$Q$114&lt;=$N127),$O127+($P127*($Q$114-$M127)),0)</f>
        <v>0</v>
      </c>
      <c r="R127" s="654">
        <f>IF(AND($R$114&gt;$M127,$R$114&lt;=$N127),$O127+($P127*($R$114-$M127)),0)</f>
        <v>0</v>
      </c>
      <c r="S127" s="1049" t="str">
        <f>"€ "&amp;O127&amp;" + "&amp;P127*100&amp;"% x (arbeidsinkomen - € "&amp;M127&amp;")"</f>
        <v>€ 2374 + 1,589% x (arbeidsinkomen - € 23201)</v>
      </c>
      <c r="T127" s="368">
        <f>IF(AND($T$114&gt;$M127,$T$114&lt;=$N127),$O127+($P127*($T$114-$M127)),0)</f>
        <v>0</v>
      </c>
      <c r="U127" s="648">
        <f>IF(AND($U$114&gt;$M127,$U$114&lt;=$N127),$O127+($P127*($U$114-$M127)),0)</f>
        <v>0</v>
      </c>
      <c r="AF127" s="2340"/>
    </row>
    <row r="128" spans="1:32" x14ac:dyDescent="0.25">
      <c r="A128" s="70"/>
      <c r="B128" s="167" t="s">
        <v>460</v>
      </c>
      <c r="C128" s="236">
        <v>0</v>
      </c>
      <c r="D128" s="1714">
        <f>IF(C$126="Maand",C128*12,IF(C$126="Jaar",C128,0))</f>
        <v>0</v>
      </c>
      <c r="E128" s="236">
        <v>0</v>
      </c>
      <c r="F128" s="1714">
        <f>IF(E$126="Maand",E128*12,IF(E$126="Jaar",E128,0))</f>
        <v>0</v>
      </c>
      <c r="G128" s="2789" t="s">
        <v>459</v>
      </c>
      <c r="H128" s="2790"/>
      <c r="I128" s="2790"/>
      <c r="J128" s="2791"/>
      <c r="M128" s="1100">
        <f>N127</f>
        <v>37691</v>
      </c>
      <c r="N128" s="739">
        <v>115295</v>
      </c>
      <c r="O128" s="739">
        <v>2604</v>
      </c>
      <c r="P128" s="786">
        <v>3.3550000000000003E-2</v>
      </c>
      <c r="Q128" s="653">
        <f>IF(AND($Q$114&gt;$M128,$Q$114&lt;=$N128),$O128-($P128*($Q$114-$M128)),0)</f>
        <v>0</v>
      </c>
      <c r="R128" s="654">
        <f>IF(AND($R$114&gt;$M128,$R$114&lt;=$N128),$O128-($P128*($R$114-$M128)),0)</f>
        <v>0</v>
      </c>
      <c r="S128" s="1049" t="str">
        <f>"€ "&amp;O128&amp;" - "&amp;P128*100&amp;"% x (arbeidsinkomen - € "&amp;M128&amp;")"</f>
        <v>€ 2604 - 3,355% x (arbeidsinkomen - € 37691)</v>
      </c>
      <c r="T128" s="368">
        <f>IF(AND($T$114&gt;$M128,$T$114&lt;=$N128),$O128-(P128*($T$114-M128)),0)</f>
        <v>0</v>
      </c>
      <c r="U128" s="648">
        <f>IF(AND($U$114&gt;$M128,$U$114&lt;=$N128),$O128-(P128*($U$114-M128)),0)</f>
        <v>0</v>
      </c>
      <c r="AF128" s="2340"/>
    </row>
    <row r="129" spans="1:32" ht="15.75" thickBot="1" x14ac:dyDescent="0.3">
      <c r="A129" s="69"/>
      <c r="B129" s="154" t="s">
        <v>709</v>
      </c>
      <c r="C129" s="100" t="s">
        <v>109</v>
      </c>
      <c r="D129" s="684"/>
      <c r="E129" s="100" t="s">
        <v>109</v>
      </c>
      <c r="F129" s="684"/>
      <c r="G129" s="2742"/>
      <c r="H129" s="2743"/>
      <c r="I129" s="2743"/>
      <c r="J129" s="2744"/>
      <c r="M129" s="1102">
        <f>N128</f>
        <v>115295</v>
      </c>
      <c r="N129" s="739" t="s">
        <v>72</v>
      </c>
      <c r="O129" s="739">
        <v>0</v>
      </c>
      <c r="P129" s="787"/>
      <c r="Q129" s="655">
        <v>0</v>
      </c>
      <c r="R129" s="569">
        <v>0</v>
      </c>
      <c r="S129" s="41"/>
      <c r="T129" s="649">
        <v>0</v>
      </c>
      <c r="U129" s="650">
        <v>0</v>
      </c>
      <c r="AF129" s="2340"/>
    </row>
    <row r="130" spans="1:32" ht="15.75" thickBot="1" x14ac:dyDescent="0.3">
      <c r="A130" s="174">
        <v>44</v>
      </c>
      <c r="B130" s="168" t="s">
        <v>359</v>
      </c>
      <c r="C130" s="331">
        <f>IF(C129="Nee",0,0.08*C128)</f>
        <v>0</v>
      </c>
      <c r="D130" s="2363">
        <f>IF(C$126="Maand",C130*12,IF(C$126="Jaar",C130,0))</f>
        <v>0</v>
      </c>
      <c r="E130" s="331">
        <f>IF(E129="Nee",0,0.08*E128)</f>
        <v>0</v>
      </c>
      <c r="F130" s="2363">
        <f>IF(E$126="Maand",E130*12,IF(E$126="Jaar",E130,0))</f>
        <v>0</v>
      </c>
      <c r="G130" s="2678" t="s">
        <v>459</v>
      </c>
      <c r="H130" s="2679"/>
      <c r="I130" s="2679"/>
      <c r="J130" s="2680"/>
      <c r="M130" s="2686" t="s">
        <v>135</v>
      </c>
      <c r="N130" s="2691"/>
      <c r="O130" s="2691"/>
      <c r="P130" s="2691"/>
      <c r="Q130" s="73" t="str">
        <f>IF(BGAOWLeeftijdBereikt_AP="Nee","Zie WERK-tabel",SUM(Q125:Q129))</f>
        <v>Zie WERK-tabel</v>
      </c>
      <c r="R130" s="74" t="str">
        <f>IF(BGAOWLeeftijdBereikt_AG="Nee","Zie WERK-tabel",SUM(R125:R129))</f>
        <v>Zie WERK-tabel</v>
      </c>
      <c r="T130" s="73" t="str">
        <f>IF(BGAOWLeeftijdBereikt_AP="Nee","Zie WERK-tabel",SUM(T125:T129))</f>
        <v>Zie WERK-tabel</v>
      </c>
      <c r="U130" s="74" t="str">
        <f>IF(BGAOWLeeftijdBereikt_AG="Nee","Zie WERK-tabel",SUM(U125:U129))</f>
        <v>Zie WERK-tabel</v>
      </c>
      <c r="AF130" s="2340"/>
    </row>
    <row r="131" spans="1:32" ht="15.75" thickBot="1" x14ac:dyDescent="0.3">
      <c r="A131" s="173">
        <v>43</v>
      </c>
      <c r="B131" s="114" t="s">
        <v>154</v>
      </c>
      <c r="C131" s="58">
        <f>SUM(C128:C130)</f>
        <v>0</v>
      </c>
      <c r="D131" s="2364">
        <f>SUM(D128:D130)</f>
        <v>0</v>
      </c>
      <c r="E131" s="58">
        <f>SUM(E128:E130)</f>
        <v>0</v>
      </c>
      <c r="F131" s="338">
        <f>SUM(F128:F130)</f>
        <v>0</v>
      </c>
      <c r="M131" s="1081"/>
      <c r="N131" s="1081"/>
      <c r="O131" s="1081"/>
      <c r="P131" s="1081"/>
      <c r="AF131" s="2340"/>
    </row>
    <row r="132" spans="1:32" ht="15.75" thickBot="1" x14ac:dyDescent="0.3">
      <c r="A132" s="169">
        <v>51</v>
      </c>
      <c r="B132" s="115" t="s">
        <v>250</v>
      </c>
      <c r="C132" s="143">
        <v>0</v>
      </c>
      <c r="D132" s="280">
        <f>IF(C$126="Maand",C132*12,IF(C$126="Jaar",C132,0))</f>
        <v>0</v>
      </c>
      <c r="E132" s="143">
        <v>0</v>
      </c>
      <c r="F132" s="268">
        <f>IF(E$126="Maand",E132*12,IF(E$126="Jaar",E132,0))</f>
        <v>0</v>
      </c>
      <c r="L132" s="2">
        <v>115</v>
      </c>
      <c r="M132" s="24" t="s">
        <v>225</v>
      </c>
      <c r="N132" s="1104" t="s">
        <v>145</v>
      </c>
      <c r="O132" s="1081"/>
      <c r="P132" s="1081"/>
      <c r="T132" s="2681" t="s">
        <v>510</v>
      </c>
      <c r="U132" s="2682"/>
      <c r="AF132" s="2340"/>
    </row>
    <row r="133" spans="1:32" ht="15.75" thickBot="1" x14ac:dyDescent="0.3">
      <c r="M133" s="1081"/>
      <c r="N133" s="1081"/>
      <c r="O133" s="2689" t="s">
        <v>199</v>
      </c>
      <c r="P133" s="2690"/>
      <c r="Q133" s="561">
        <f>AL94VerzInkomen_AP</f>
        <v>0</v>
      </c>
      <c r="R133" s="43">
        <f>AL94VerzInkomen_AG</f>
        <v>0</v>
      </c>
      <c r="S133" s="61" t="s">
        <v>200</v>
      </c>
      <c r="T133" s="555">
        <f>Q133</f>
        <v>0</v>
      </c>
      <c r="U133" s="554">
        <f>R133</f>
        <v>0</v>
      </c>
      <c r="V133" s="61" t="s">
        <v>1060</v>
      </c>
      <c r="AF133" s="2340"/>
    </row>
    <row r="134" spans="1:32" ht="15.75" thickBot="1" x14ac:dyDescent="0.3">
      <c r="A134" s="166">
        <v>50</v>
      </c>
      <c r="B134" s="107" t="s">
        <v>156</v>
      </c>
      <c r="C134" s="64" t="str">
        <f>BGPartnerAP</f>
        <v>AP</v>
      </c>
      <c r="E134" s="22" t="str">
        <f>BGPartnerAG</f>
        <v>AG</v>
      </c>
      <c r="M134" s="1095" t="s">
        <v>133</v>
      </c>
      <c r="N134" s="1096" t="s">
        <v>71</v>
      </c>
      <c r="O134" s="1096" t="s">
        <v>134</v>
      </c>
      <c r="P134" s="1097" t="s">
        <v>81</v>
      </c>
      <c r="Q134" s="22" t="str">
        <f>BGPartnerAP</f>
        <v>AP</v>
      </c>
      <c r="R134" s="71" t="str">
        <f>BGPartnerAG</f>
        <v>AG</v>
      </c>
      <c r="S134" s="123" t="s">
        <v>136</v>
      </c>
      <c r="T134" s="22" t="str">
        <f>BGPartnerAP</f>
        <v>AP</v>
      </c>
      <c r="U134" s="71" t="str">
        <f>BGPartnerAG</f>
        <v>AG</v>
      </c>
      <c r="AF134" s="2340"/>
    </row>
    <row r="135" spans="1:32" ht="15.75" thickBot="1" x14ac:dyDescent="0.3">
      <c r="B135" s="278" t="s">
        <v>360</v>
      </c>
      <c r="C135" s="45" t="s">
        <v>95</v>
      </c>
      <c r="D135" s="2" t="s">
        <v>895</v>
      </c>
      <c r="E135" s="45" t="s">
        <v>95</v>
      </c>
      <c r="F135" s="2" t="s">
        <v>895</v>
      </c>
      <c r="M135" s="1105">
        <v>0</v>
      </c>
      <c r="N135" s="1106">
        <v>40889</v>
      </c>
      <c r="O135" s="779">
        <v>1835</v>
      </c>
      <c r="P135" s="780"/>
      <c r="Q135" s="656">
        <f>IF(AND($Q$133&gt;$M135,$Q$133&lt;=$N135),$O135,0)</f>
        <v>0</v>
      </c>
      <c r="R135" s="657">
        <f>IF(AND($R$133&gt;$M135,$R$133&lt;=$N135),$O135,0)</f>
        <v>0</v>
      </c>
      <c r="S135" s="1046" t="str">
        <f>"€ "&amp;O135</f>
        <v>€ 1835</v>
      </c>
      <c r="T135" s="515">
        <f>IF(AND($T$133&gt;$M135,$T$133&lt;=$N135),$O135,0)</f>
        <v>0</v>
      </c>
      <c r="U135" s="515">
        <f>IF(AND($U$133&gt;$M135,$U$133&lt;=$N135),$O135,0)</f>
        <v>0</v>
      </c>
      <c r="AF135" s="2340"/>
    </row>
    <row r="136" spans="1:32" ht="15.75" thickBot="1" x14ac:dyDescent="0.3">
      <c r="A136" s="9" t="s">
        <v>249</v>
      </c>
      <c r="B136" s="111" t="s">
        <v>74</v>
      </c>
      <c r="C136" s="22" t="str">
        <f>IF(C135="Maand","Per Maand",IF(C135="4 Weken","Per 4-weken",IF(C135="Anders","Anders","")))</f>
        <v>Per Maand</v>
      </c>
      <c r="D136" s="122" t="s">
        <v>356</v>
      </c>
      <c r="E136" s="22" t="str">
        <f>IF(E135="Maand","Per Maand",IF(E135="4 Weken","Per 4-weken",IF(E135="Anders","Anders","")))</f>
        <v>Per Maand</v>
      </c>
      <c r="F136" s="71" t="s">
        <v>356</v>
      </c>
      <c r="G136" s="2720" t="s">
        <v>215</v>
      </c>
      <c r="H136" s="2721"/>
      <c r="I136" s="2721"/>
      <c r="J136" s="2722"/>
      <c r="M136" s="1107">
        <f>N135</f>
        <v>40889</v>
      </c>
      <c r="N136" s="722">
        <v>53122</v>
      </c>
      <c r="O136" s="781">
        <v>0</v>
      </c>
      <c r="P136" s="782">
        <v>0.15</v>
      </c>
      <c r="Q136" s="464">
        <f>IF(AND($Q$133&gt;$M136,$Q$133&lt;=$N136),O135-($P136*($Q$133-M136)),0)</f>
        <v>0</v>
      </c>
      <c r="R136" s="638">
        <f>IF(AND($R$133&gt;$M136,$R$133&lt;=$N136),O135-($P136*($R$133-M136)),0)</f>
        <v>0</v>
      </c>
      <c r="S136" s="1049" t="str">
        <f>"€ "&amp;O135&amp;" - "&amp;P136*100&amp;"% x (verzamelinkomen - € "&amp;N135&amp;")"</f>
        <v>€ 1835 - 15% x (verzamelinkomen - € 40889)</v>
      </c>
      <c r="T136" s="516">
        <f>IF(AND($T$133&gt;$M136,$T$133&lt;=$N136),O135-($P136*($T$133-M136)),0)</f>
        <v>0</v>
      </c>
      <c r="U136" s="516">
        <f>IF(AND($U$133&gt;$M136,$U$133&lt;=$N136),O135-($P136*($U$133-M136)),0)</f>
        <v>0</v>
      </c>
      <c r="AF136" s="2340"/>
    </row>
    <row r="137" spans="1:32" ht="15.75" thickBot="1" x14ac:dyDescent="0.3">
      <c r="A137" s="70"/>
      <c r="B137" s="112" t="s">
        <v>694</v>
      </c>
      <c r="C137" s="99">
        <v>0</v>
      </c>
      <c r="D137" s="902">
        <f>IF(C$135="Maand",C137*12,IF(C$135="Jaar",C137,0))</f>
        <v>0</v>
      </c>
      <c r="E137" s="99">
        <v>0</v>
      </c>
      <c r="F137" s="902">
        <f>IF(E$135="Maand",E137*12,IF(E$135="Jaar",E137,0))</f>
        <v>0</v>
      </c>
      <c r="G137" s="2739" t="s">
        <v>435</v>
      </c>
      <c r="H137" s="2740"/>
      <c r="I137" s="2740"/>
      <c r="J137" s="2741"/>
      <c r="M137" s="1108">
        <f>N136</f>
        <v>53122</v>
      </c>
      <c r="N137" s="788">
        <v>0</v>
      </c>
      <c r="O137" s="788">
        <v>0</v>
      </c>
      <c r="P137" s="789"/>
      <c r="Q137" s="658">
        <v>0</v>
      </c>
      <c r="R137" s="659">
        <v>0</v>
      </c>
      <c r="S137" s="41">
        <v>0</v>
      </c>
      <c r="T137" s="646">
        <v>0</v>
      </c>
      <c r="U137" s="646">
        <v>0</v>
      </c>
      <c r="AF137" s="2340"/>
    </row>
    <row r="138" spans="1:32" ht="15.75" thickBot="1" x14ac:dyDescent="0.3">
      <c r="A138" s="174"/>
      <c r="B138" s="113" t="s">
        <v>157</v>
      </c>
      <c r="C138" s="39">
        <v>0</v>
      </c>
      <c r="D138" s="903">
        <f>IF(C$135="Maand",C138*12,IF(C$135="Jaar",C138,0))</f>
        <v>0</v>
      </c>
      <c r="E138" s="39">
        <v>0</v>
      </c>
      <c r="F138" s="903">
        <f>IF(E$135="Maand",E138*12,IF(E$135="Jaar",E138,0))</f>
        <v>0</v>
      </c>
      <c r="G138" s="2804" t="s">
        <v>435</v>
      </c>
      <c r="H138" s="2805"/>
      <c r="I138" s="2805"/>
      <c r="J138" s="2806"/>
      <c r="M138" s="2676" t="s">
        <v>135</v>
      </c>
      <c r="N138" s="2702"/>
      <c r="O138" s="2702"/>
      <c r="P138" s="2702"/>
      <c r="Q138" s="58" t="str">
        <f>IF(BGJaarBerekening&gt;=YEAR($C$9),SUM(Q135:Q137),"n.v.t")</f>
        <v>n.v.t</v>
      </c>
      <c r="R138" s="338" t="str">
        <f>IF(BGJaarBerekening&gt;=YEAR($D$9),SUM(R135:R137),"n.v.t")</f>
        <v>n.v.t</v>
      </c>
      <c r="T138" s="681" t="str">
        <f>IF(BGJaarBerekening&gt;=YEAR($C$9),SUM(T135:T137),"n.v.t")</f>
        <v>n.v.t</v>
      </c>
      <c r="U138" s="338" t="str">
        <f>IF(BGJaarBerekening&gt;=YEAR($D$9),SUM(U135:U137),"n.v.t")</f>
        <v>n.v.t</v>
      </c>
      <c r="AF138" s="2340"/>
    </row>
    <row r="139" spans="1:32" ht="15.75" thickBot="1" x14ac:dyDescent="0.3">
      <c r="A139" s="1253">
        <v>50</v>
      </c>
      <c r="B139" s="634" t="s">
        <v>154</v>
      </c>
      <c r="C139" s="1254">
        <f>SUM(C137:C138)</f>
        <v>0</v>
      </c>
      <c r="D139" s="1254">
        <f>SUM(D137:D138)</f>
        <v>0</v>
      </c>
      <c r="E139" s="1254">
        <f>SUM(E137:E138)</f>
        <v>0</v>
      </c>
      <c r="F139" s="1254">
        <f>SUM(F137:F138)</f>
        <v>0</v>
      </c>
      <c r="M139" s="2699" t="s">
        <v>203</v>
      </c>
      <c r="N139" s="2700"/>
      <c r="O139" s="2700"/>
      <c r="P139" s="2700"/>
      <c r="Q139" s="2700"/>
      <c r="R139" s="2701"/>
      <c r="S139" s="339"/>
      <c r="AF139" s="2340"/>
    </row>
    <row r="140" spans="1:32" ht="15.75" thickBot="1" x14ac:dyDescent="0.3">
      <c r="A140" s="1255">
        <v>57</v>
      </c>
      <c r="B140" s="1256" t="str">
        <f>"Ingehouden ZVW-premie a "&amp;C220*100&amp;"% over"</f>
        <v>Ingehouden ZVW-premie a 5,43% over</v>
      </c>
      <c r="C140" s="1257">
        <v>0</v>
      </c>
      <c r="D140" s="58">
        <f>IF(C$135="Maand",C140*12,IF(C$135="Jaar",C140,0))</f>
        <v>0</v>
      </c>
      <c r="E140" s="1257">
        <v>0</v>
      </c>
      <c r="F140" s="58">
        <f>IF(E$135="Maand",E140*12,IF(E$135="Jaar",E140,0))</f>
        <v>0</v>
      </c>
      <c r="AF140" s="2340"/>
    </row>
    <row r="141" spans="1:32" ht="15.75" thickBot="1" x14ac:dyDescent="0.3">
      <c r="M141" s="13" t="s">
        <v>840</v>
      </c>
      <c r="P141" s="32" t="s">
        <v>841</v>
      </c>
      <c r="AF141" s="2340"/>
    </row>
    <row r="142" spans="1:32" ht="15" customHeight="1" thickBot="1" x14ac:dyDescent="0.3">
      <c r="A142" s="166"/>
      <c r="B142" s="107" t="s">
        <v>388</v>
      </c>
      <c r="E142" s="309"/>
      <c r="O142" s="2760" t="s">
        <v>207</v>
      </c>
      <c r="P142" s="2935"/>
      <c r="Q142" s="73">
        <f>AL94VerzInkomen_AP+AL93PersGebAftrek_AP+'Alimentatie 2023-02'!$D145+'Alimentatie 2023-02'!$D174</f>
        <v>0</v>
      </c>
      <c r="R142" s="74">
        <f>AL94VerzInkomen_AG+AL93PersGebAftrek_AG+'Alimentatie 2023-02'!$F145+'Alimentatie 2023-02'!$F174</f>
        <v>0</v>
      </c>
      <c r="S142" s="80" t="s">
        <v>210</v>
      </c>
      <c r="AF142" s="2340"/>
    </row>
    <row r="143" spans="1:32" ht="15.75" thickBot="1" x14ac:dyDescent="0.3">
      <c r="A143" s="9" t="s">
        <v>249</v>
      </c>
      <c r="B143" s="296" t="s">
        <v>105</v>
      </c>
      <c r="C143" s="122" t="s">
        <v>347</v>
      </c>
      <c r="D143" s="27" t="str">
        <f>BGPartnerAP</f>
        <v>AP</v>
      </c>
      <c r="E143" s="22" t="str">
        <f>BGPartnerAG</f>
        <v>AG</v>
      </c>
      <c r="F143" s="2720" t="s">
        <v>349</v>
      </c>
      <c r="G143" s="2721"/>
      <c r="H143" s="2721"/>
      <c r="I143" s="2721"/>
      <c r="J143" s="2722"/>
      <c r="M143" s="63" t="s">
        <v>133</v>
      </c>
      <c r="N143" s="55" t="s">
        <v>71</v>
      </c>
      <c r="O143" s="6" t="s">
        <v>134</v>
      </c>
      <c r="P143" s="56" t="s">
        <v>81</v>
      </c>
      <c r="Q143" s="75" t="str">
        <f>BGPartnerAP</f>
        <v>AP</v>
      </c>
      <c r="R143" s="57" t="str">
        <f>BGPartnerAG</f>
        <v>AG</v>
      </c>
      <c r="S143" s="79" t="s">
        <v>136</v>
      </c>
      <c r="AF143" s="2340"/>
    </row>
    <row r="144" spans="1:32" ht="17.25" x14ac:dyDescent="0.25">
      <c r="A144" s="28">
        <v>71</v>
      </c>
      <c r="B144" s="1145" t="s">
        <v>443</v>
      </c>
      <c r="C144" s="1067">
        <v>5030</v>
      </c>
      <c r="D144" s="341" t="s">
        <v>110</v>
      </c>
      <c r="E144" s="310" t="s">
        <v>110</v>
      </c>
      <c r="F144" s="2739" t="s">
        <v>427</v>
      </c>
      <c r="G144" s="2740"/>
      <c r="H144" s="2740"/>
      <c r="I144" s="2740"/>
      <c r="J144" s="2741"/>
      <c r="M144" s="1109">
        <v>0</v>
      </c>
      <c r="N144" s="1546">
        <v>8093</v>
      </c>
      <c r="O144" s="1553">
        <v>141</v>
      </c>
      <c r="P144" s="1554"/>
      <c r="Q144" s="1107">
        <f>IF(OR(Q$142&gt;N144,Q$142&lt;0.01),0,O144)</f>
        <v>0</v>
      </c>
      <c r="R144" s="1110">
        <f>IF(OR(R$142&gt;N144,ROUND(R$142,0.01)&lt;0.01),0,O144)</f>
        <v>0</v>
      </c>
      <c r="S144" s="1046" t="str">
        <f>"€ "&amp;O144</f>
        <v>€ 141</v>
      </c>
      <c r="AF144" s="2340"/>
    </row>
    <row r="145" spans="1:32" ht="18" thickBot="1" x14ac:dyDescent="0.3">
      <c r="A145" s="30">
        <v>71</v>
      </c>
      <c r="B145" s="1146" t="s">
        <v>607</v>
      </c>
      <c r="C145" s="767">
        <v>2123</v>
      </c>
      <c r="D145" s="342" t="s">
        <v>110</v>
      </c>
      <c r="E145" s="318" t="s">
        <v>110</v>
      </c>
      <c r="F145" s="2804" t="s">
        <v>428</v>
      </c>
      <c r="G145" s="2805"/>
      <c r="H145" s="2805"/>
      <c r="I145" s="2805"/>
      <c r="J145" s="2806"/>
      <c r="M145" s="1111">
        <f>N144</f>
        <v>8093</v>
      </c>
      <c r="N145" s="1547">
        <v>42986</v>
      </c>
      <c r="O145" s="1555">
        <v>0</v>
      </c>
      <c r="P145" s="1556">
        <v>1.6500000000000001E-2</v>
      </c>
      <c r="Q145" s="1111">
        <f>IF(OR(Q$142&lt;=M145,Q$142&gt;N145),0,O145+(P145*Q$142))</f>
        <v>0</v>
      </c>
      <c r="R145" s="1112">
        <f>IF(OR(R$142&lt;=M145,R$142&gt;N145),0,O145+(P145*R$142))</f>
        <v>0</v>
      </c>
      <c r="S145" s="1047" t="str">
        <f>P145*100&amp;"% van het drempelinkomen"</f>
        <v>1,65% van het drempelinkomen</v>
      </c>
      <c r="AF145" s="2340"/>
    </row>
    <row r="146" spans="1:32" ht="18" thickBot="1" x14ac:dyDescent="0.3">
      <c r="C146" s="723"/>
      <c r="M146" s="1113">
        <f>N145</f>
        <v>42986</v>
      </c>
      <c r="N146" s="1548">
        <v>0</v>
      </c>
      <c r="O146" s="1548">
        <v>709</v>
      </c>
      <c r="P146" s="1557">
        <v>5.7500000000000002E-2</v>
      </c>
      <c r="Q146" s="1111">
        <f>IF(Q$142&gt;M146,O146+(P146*Q$142),0)</f>
        <v>0</v>
      </c>
      <c r="R146" s="1112">
        <f>IF(R$142&gt;M146,O146+(P146*R$142),0)</f>
        <v>0</v>
      </c>
      <c r="S146" s="1048" t="str">
        <f>"€ "&amp;O146&amp;" + "&amp;P146*100&amp;"% van het bedrag boven € "&amp;M146</f>
        <v>€ 709 + 5,75% van het bedrag boven € 42986</v>
      </c>
      <c r="AF146" s="2340"/>
    </row>
    <row r="147" spans="1:32" ht="15.75" thickBot="1" x14ac:dyDescent="0.3">
      <c r="A147" s="166"/>
      <c r="B147" s="107" t="s">
        <v>388</v>
      </c>
      <c r="C147" s="723"/>
      <c r="E147" s="309"/>
      <c r="M147" s="2686" t="s">
        <v>135</v>
      </c>
      <c r="N147" s="2687"/>
      <c r="O147" s="2687"/>
      <c r="P147" s="2688"/>
      <c r="Q147" s="1114">
        <f>SUM(Q144:Q146)</f>
        <v>0</v>
      </c>
      <c r="R147" s="1115">
        <f>SUM(R144:R146)</f>
        <v>0</v>
      </c>
      <c r="S147" s="26"/>
      <c r="AF147" s="2340"/>
    </row>
    <row r="148" spans="1:32" ht="15.75" thickBot="1" x14ac:dyDescent="0.3">
      <c r="A148" s="9" t="s">
        <v>249</v>
      </c>
      <c r="B148" s="296" t="s">
        <v>105</v>
      </c>
      <c r="C148" s="768" t="s">
        <v>347</v>
      </c>
      <c r="D148" s="27" t="str">
        <f>BGPartnerAP</f>
        <v>AP</v>
      </c>
      <c r="E148" s="22" t="str">
        <f>BGPartnerAG</f>
        <v>AG</v>
      </c>
      <c r="F148" s="2720" t="s">
        <v>349</v>
      </c>
      <c r="G148" s="2721"/>
      <c r="H148" s="2721"/>
      <c r="I148" s="2721"/>
      <c r="J148" s="2722"/>
      <c r="M148" s="2683" t="s">
        <v>208</v>
      </c>
      <c r="N148" s="2684"/>
      <c r="O148" s="2684"/>
      <c r="P148" s="2684"/>
      <c r="Q148" s="2684"/>
      <c r="R148" s="2684"/>
      <c r="S148" s="2685"/>
      <c r="AF148" s="2340"/>
    </row>
    <row r="149" spans="1:32" x14ac:dyDescent="0.25">
      <c r="A149" s="28"/>
      <c r="B149" s="1147" t="s">
        <v>385</v>
      </c>
      <c r="C149" s="1067">
        <v>14202</v>
      </c>
      <c r="D149" s="341" t="s">
        <v>110</v>
      </c>
      <c r="E149" s="310" t="s">
        <v>110</v>
      </c>
      <c r="F149" s="2739" t="s">
        <v>428</v>
      </c>
      <c r="G149" s="2740"/>
      <c r="H149" s="2740"/>
      <c r="I149" s="2740"/>
      <c r="J149" s="2741"/>
      <c r="AF149" s="2340"/>
    </row>
    <row r="150" spans="1:32" ht="15.75" thickBot="1" x14ac:dyDescent="0.3">
      <c r="A150" s="30"/>
      <c r="B150" s="1148" t="s">
        <v>386</v>
      </c>
      <c r="C150" s="767">
        <v>7106</v>
      </c>
      <c r="D150" s="342" t="s">
        <v>110</v>
      </c>
      <c r="E150" s="318" t="s">
        <v>110</v>
      </c>
      <c r="F150" s="2804" t="s">
        <v>427</v>
      </c>
      <c r="G150" s="2805"/>
      <c r="H150" s="2805"/>
      <c r="I150" s="2805"/>
      <c r="J150" s="2806"/>
      <c r="L150" s="2">
        <v>82</v>
      </c>
      <c r="M150" s="24" t="s">
        <v>226</v>
      </c>
      <c r="N150" s="1081"/>
      <c r="O150" s="1104" t="s">
        <v>112</v>
      </c>
      <c r="P150" s="1081"/>
      <c r="Q150" s="1081"/>
      <c r="AF150" s="2340"/>
    </row>
    <row r="151" spans="1:32" ht="15.75" thickBot="1" x14ac:dyDescent="0.3">
      <c r="A151" s="359">
        <v>72</v>
      </c>
      <c r="B151" s="2889" t="s">
        <v>387</v>
      </c>
      <c r="C151" s="2890"/>
      <c r="D151" s="450">
        <f>IF(AND(D$149="Ja",D$150="Ja"),$C$149+$C$150,IF(AND(D$149="Ja",D$150="Nee"),$C$149,IF(AND(D$149="Nee",D$150="Ja"),$C$150,0)))</f>
        <v>0</v>
      </c>
      <c r="E151" s="450">
        <f>IF(AND(E$149="Ja",E$150="Ja"),$C$149+$C$150,IF(AND(E$149="Ja",E$150="Nee"),$C$149,IF(AND(E$149="Nee",E$150="Ja"),$C$150,0)))</f>
        <v>0</v>
      </c>
      <c r="M151" s="2936" t="s">
        <v>100</v>
      </c>
      <c r="N151" s="2929" t="s">
        <v>101</v>
      </c>
      <c r="O151" s="2933" t="s">
        <v>104</v>
      </c>
      <c r="P151" s="1081"/>
      <c r="Q151" s="1081"/>
      <c r="AF151" s="2340"/>
    </row>
    <row r="152" spans="1:32" ht="15.75" thickBot="1" x14ac:dyDescent="0.3">
      <c r="M152" s="2937"/>
      <c r="N152" s="2930"/>
      <c r="O152" s="2934"/>
      <c r="P152" s="1116" t="s">
        <v>103</v>
      </c>
      <c r="Q152" s="1117"/>
      <c r="AF152" s="2340"/>
    </row>
    <row r="153" spans="1:32" ht="15.75" thickBot="1" x14ac:dyDescent="0.3">
      <c r="A153" s="3">
        <v>73</v>
      </c>
      <c r="B153" s="315" t="s">
        <v>17</v>
      </c>
      <c r="M153" s="2538">
        <v>0</v>
      </c>
      <c r="N153" s="2539">
        <v>12500</v>
      </c>
      <c r="O153" s="1089">
        <v>0</v>
      </c>
      <c r="P153" s="2540">
        <v>0</v>
      </c>
      <c r="Q153" s="1117"/>
      <c r="AF153" s="2340"/>
    </row>
    <row r="154" spans="1:32" ht="15.75" thickBot="1" x14ac:dyDescent="0.3">
      <c r="A154" s="65" t="s">
        <v>249</v>
      </c>
      <c r="B154" s="316" t="s">
        <v>389</v>
      </c>
      <c r="C154" s="317" t="s">
        <v>395</v>
      </c>
      <c r="D154" s="27" t="str">
        <f>BGPartnerAP</f>
        <v>AP</v>
      </c>
      <c r="E154" s="22" t="str">
        <f>BGPartnerAG</f>
        <v>AG</v>
      </c>
      <c r="F154" s="2720" t="s">
        <v>349</v>
      </c>
      <c r="G154" s="2721"/>
      <c r="H154" s="2721"/>
      <c r="I154" s="2721"/>
      <c r="J154" s="2722"/>
      <c r="M154" s="1118">
        <f>N153</f>
        <v>12500</v>
      </c>
      <c r="N154" s="791">
        <v>25000</v>
      </c>
      <c r="O154" s="792">
        <v>1E-3</v>
      </c>
      <c r="P154" s="2541">
        <v>0</v>
      </c>
      <c r="Q154" s="1117"/>
      <c r="AF154" s="2340"/>
    </row>
    <row r="155" spans="1:32" x14ac:dyDescent="0.25">
      <c r="A155" s="67">
        <v>1</v>
      </c>
      <c r="B155" s="1149" t="s">
        <v>390</v>
      </c>
      <c r="C155" s="1550">
        <v>0</v>
      </c>
      <c r="D155" s="310" t="s">
        <v>110</v>
      </c>
      <c r="E155" s="310" t="s">
        <v>110</v>
      </c>
      <c r="F155" s="2818" t="s">
        <v>427</v>
      </c>
      <c r="G155" s="2819"/>
      <c r="H155" s="2819"/>
      <c r="I155" s="2819"/>
      <c r="J155" s="2820"/>
      <c r="M155" s="1118">
        <f>N154</f>
        <v>25000</v>
      </c>
      <c r="N155" s="791">
        <v>50000</v>
      </c>
      <c r="O155" s="792">
        <v>2E-3</v>
      </c>
      <c r="P155" s="2541">
        <v>0</v>
      </c>
      <c r="Q155" s="1117"/>
      <c r="AF155" s="2340"/>
    </row>
    <row r="156" spans="1:32" x14ac:dyDescent="0.25">
      <c r="A156" s="29">
        <v>2</v>
      </c>
      <c r="B156" s="1150" t="s">
        <v>391</v>
      </c>
      <c r="C156" s="1551">
        <v>1.2500000000000001E-2</v>
      </c>
      <c r="D156" s="100" t="s">
        <v>110</v>
      </c>
      <c r="E156" s="100" t="s">
        <v>110</v>
      </c>
      <c r="F156" s="2821"/>
      <c r="G156" s="2822"/>
      <c r="H156" s="2822"/>
      <c r="I156" s="2822"/>
      <c r="J156" s="2823"/>
      <c r="M156" s="1118">
        <f>N155</f>
        <v>50000</v>
      </c>
      <c r="N156" s="791">
        <v>75000</v>
      </c>
      <c r="O156" s="792">
        <v>2.5000000000000001E-3</v>
      </c>
      <c r="P156" s="2541">
        <v>0</v>
      </c>
      <c r="Q156" s="1117"/>
      <c r="AF156" s="2340"/>
    </row>
    <row r="157" spans="1:32" x14ac:dyDescent="0.25">
      <c r="A157" s="29">
        <v>3</v>
      </c>
      <c r="B157" s="1150" t="s">
        <v>392</v>
      </c>
      <c r="C157" s="1551">
        <v>0.02</v>
      </c>
      <c r="D157" s="100" t="s">
        <v>110</v>
      </c>
      <c r="E157" s="100" t="s">
        <v>110</v>
      </c>
      <c r="F157" s="2821"/>
      <c r="G157" s="2822"/>
      <c r="H157" s="2822"/>
      <c r="I157" s="2822"/>
      <c r="J157" s="2823"/>
      <c r="M157" s="1118">
        <f>N156</f>
        <v>75000</v>
      </c>
      <c r="N157" s="791">
        <v>1200000</v>
      </c>
      <c r="O157" s="792">
        <v>3.5000000000000001E-3</v>
      </c>
      <c r="P157" s="2541">
        <v>0</v>
      </c>
      <c r="Q157" s="1117"/>
      <c r="R157" s="2"/>
      <c r="AF157" s="2340"/>
    </row>
    <row r="158" spans="1:32" ht="15.75" thickBot="1" x14ac:dyDescent="0.3">
      <c r="A158" s="29">
        <v>4</v>
      </c>
      <c r="B158" s="1150" t="s">
        <v>393</v>
      </c>
      <c r="C158" s="1551">
        <v>0.03</v>
      </c>
      <c r="D158" s="100" t="s">
        <v>110</v>
      </c>
      <c r="E158" s="100" t="s">
        <v>110</v>
      </c>
      <c r="F158" s="2821"/>
      <c r="G158" s="2822"/>
      <c r="H158" s="2822"/>
      <c r="I158" s="2822"/>
      <c r="J158" s="2823"/>
      <c r="M158" s="1119">
        <f>N157</f>
        <v>1200000</v>
      </c>
      <c r="N158" s="793" t="s">
        <v>72</v>
      </c>
      <c r="O158" s="772">
        <v>2.35E-2</v>
      </c>
      <c r="P158" s="1120">
        <v>4200</v>
      </c>
      <c r="Q158" s="1117"/>
      <c r="R158" s="2"/>
      <c r="AF158" s="2340"/>
    </row>
    <row r="159" spans="1:32" ht="15.75" thickBot="1" x14ac:dyDescent="0.3">
      <c r="A159" s="31">
        <v>5</v>
      </c>
      <c r="B159" s="1151" t="s">
        <v>394</v>
      </c>
      <c r="C159" s="1552">
        <v>0.04</v>
      </c>
      <c r="D159" s="318" t="s">
        <v>110</v>
      </c>
      <c r="E159" s="318" t="s">
        <v>110</v>
      </c>
      <c r="F159" s="2824"/>
      <c r="G159" s="2825"/>
      <c r="H159" s="2825"/>
      <c r="I159" s="2825"/>
      <c r="J159" s="2826"/>
      <c r="AF159" s="2340"/>
    </row>
    <row r="160" spans="1:32" ht="15.75" thickBot="1" x14ac:dyDescent="0.3">
      <c r="A160" s="169"/>
      <c r="B160" s="2898" t="s">
        <v>396</v>
      </c>
      <c r="C160" s="2899"/>
      <c r="D160" s="324">
        <f>IF(D159="Ja",$C159,IF(D158="Ja",$C158,IF(D157="Ja",$C157,IF(D156="Ja",$C156,IF(D155="Ja",$C155,0)))))</f>
        <v>0</v>
      </c>
      <c r="E160" s="324">
        <f>IF(E159="Ja",$C159,IF(E158="Ja",$C158,IF(E157="Ja",$C157,IF(E156="Ja",$C156,IF(E155="Ja",$C155,0)))))</f>
        <v>0</v>
      </c>
      <c r="AF160" s="2340"/>
    </row>
    <row r="161" spans="1:32" x14ac:dyDescent="0.25">
      <c r="AF161" s="2340"/>
    </row>
    <row r="162" spans="1:32" ht="15.75" thickBot="1" x14ac:dyDescent="0.3">
      <c r="B162" s="315" t="s">
        <v>704</v>
      </c>
      <c r="C162" s="2"/>
      <c r="AF162" s="2340"/>
    </row>
    <row r="163" spans="1:32" ht="15.75" thickBot="1" x14ac:dyDescent="0.3">
      <c r="A163" s="169">
        <v>74</v>
      </c>
      <c r="B163" s="1191" t="s">
        <v>371</v>
      </c>
      <c r="C163" s="1192">
        <v>0.14000000000000001</v>
      </c>
      <c r="L163" s="438" t="s">
        <v>946</v>
      </c>
      <c r="AF163" s="2340"/>
    </row>
    <row r="164" spans="1:32" ht="15.75" thickBot="1" x14ac:dyDescent="0.3">
      <c r="L164" s="5" t="s">
        <v>8</v>
      </c>
      <c r="M164" s="1219" t="s">
        <v>74</v>
      </c>
      <c r="N164" s="1194"/>
      <c r="O164" s="1195"/>
      <c r="AF164" s="2340"/>
    </row>
    <row r="165" spans="1:32" ht="15.75" customHeight="1" thickBot="1" x14ac:dyDescent="0.3">
      <c r="B165" s="2895" t="s">
        <v>939</v>
      </c>
      <c r="C165" s="2896"/>
      <c r="D165" s="2897"/>
      <c r="E165" s="1777" t="s">
        <v>110</v>
      </c>
      <c r="L165" s="67"/>
      <c r="M165" s="1197" t="s">
        <v>710</v>
      </c>
      <c r="N165" s="1197"/>
      <c r="O165" s="1209"/>
      <c r="P165" s="310" t="s">
        <v>830</v>
      </c>
      <c r="Q165" s="23" t="s">
        <v>835</v>
      </c>
      <c r="AF165" s="2340"/>
    </row>
    <row r="166" spans="1:32" ht="15.75" thickBot="1" x14ac:dyDescent="0.3">
      <c r="B166" s="986"/>
      <c r="C166" s="986"/>
      <c r="L166" s="29"/>
      <c r="M166" s="1196" t="s">
        <v>736</v>
      </c>
      <c r="N166" s="1196"/>
      <c r="O166" s="388"/>
      <c r="P166" s="100" t="s">
        <v>110</v>
      </c>
      <c r="Q166" s="23" t="s">
        <v>835</v>
      </c>
      <c r="AF166" s="2340"/>
    </row>
    <row r="167" spans="1:32" ht="15.75" customHeight="1" thickBot="1" x14ac:dyDescent="0.3">
      <c r="E167" s="1218" t="str">
        <f>IF(BGOEWRekenModule="Nee","--",IF($P$165=$P$181,"Verlater","Blijver"))</f>
        <v>--</v>
      </c>
      <c r="F167" s="1218" t="str">
        <f>IF(BGOEWRekenModule="Nee","--",IF($P$165=$Q$181,"Verlater","Blijver"))</f>
        <v>--</v>
      </c>
      <c r="L167" s="29">
        <v>82</v>
      </c>
      <c r="M167" s="1196" t="s">
        <v>715</v>
      </c>
      <c r="N167" s="1196"/>
      <c r="O167" s="388"/>
      <c r="P167" s="1318">
        <f>C172</f>
        <v>0</v>
      </c>
      <c r="Q167" s="2"/>
      <c r="AF167" s="2340"/>
    </row>
    <row r="168" spans="1:32" ht="15" customHeight="1" thickBot="1" x14ac:dyDescent="0.3">
      <c r="E168" s="2660" t="s">
        <v>179</v>
      </c>
      <c r="F168" s="2661"/>
      <c r="H168" s="53"/>
      <c r="I168" s="53"/>
      <c r="J168" s="53"/>
      <c r="L168" s="29">
        <v>82</v>
      </c>
      <c r="M168" s="1196" t="s">
        <v>734</v>
      </c>
      <c r="N168" s="1196"/>
      <c r="O168" s="388"/>
      <c r="P168" s="1318">
        <f>D172</f>
        <v>0</v>
      </c>
      <c r="Q168" s="19" t="s">
        <v>714</v>
      </c>
      <c r="AF168" s="2340"/>
    </row>
    <row r="169" spans="1:32" ht="16.5" customHeight="1" x14ac:dyDescent="0.25">
      <c r="E169" s="2944" t="str">
        <f>BGPartnerAP</f>
        <v>AP</v>
      </c>
      <c r="F169" s="2891" t="str">
        <f>BGPartnerAG</f>
        <v>AG</v>
      </c>
      <c r="H169" s="53"/>
      <c r="I169" s="53"/>
      <c r="J169" s="53"/>
      <c r="L169" s="29">
        <v>83</v>
      </c>
      <c r="M169" s="1196" t="s">
        <v>713</v>
      </c>
      <c r="N169" s="1196"/>
      <c r="O169" s="388"/>
      <c r="P169" s="907">
        <f>C174*12</f>
        <v>0</v>
      </c>
      <c r="Q169" s="19" t="s">
        <v>714</v>
      </c>
      <c r="AF169" s="2340"/>
    </row>
    <row r="170" spans="1:32" ht="16.5" thickBot="1" x14ac:dyDescent="0.3">
      <c r="B170" s="685" t="str">
        <f>IF(BGOEWRekenModule="Ja","Onverdeeld Eigen Woning (OEW)","Eigen woningbezit "&amp;BGPartnerAP&amp;" (indien van toepassing)")</f>
        <v>Eigen woningbezit AP (indien van toepassing)</v>
      </c>
      <c r="E170" s="2945"/>
      <c r="F170" s="2892"/>
      <c r="H170" s="53"/>
      <c r="I170" s="53"/>
      <c r="J170" s="53"/>
      <c r="L170" s="29">
        <v>83</v>
      </c>
      <c r="M170" s="1196" t="s">
        <v>712</v>
      </c>
      <c r="N170" s="1196"/>
      <c r="O170" s="388"/>
      <c r="P170" s="100" t="s">
        <v>733</v>
      </c>
      <c r="Q170" s="23" t="s">
        <v>835</v>
      </c>
      <c r="AF170" s="2340"/>
    </row>
    <row r="171" spans="1:32" ht="15.75" thickBot="1" x14ac:dyDescent="0.3">
      <c r="A171" s="9" t="s">
        <v>249</v>
      </c>
      <c r="B171" s="170" t="s">
        <v>105</v>
      </c>
      <c r="C171" s="9" t="s">
        <v>99</v>
      </c>
      <c r="D171" s="56" t="s">
        <v>102</v>
      </c>
      <c r="E171" s="2946"/>
      <c r="F171" s="2893"/>
      <c r="G171" s="2747" t="s">
        <v>1041</v>
      </c>
      <c r="H171" s="2748"/>
      <c r="I171" s="2748"/>
      <c r="J171" s="2749"/>
      <c r="L171" s="29">
        <v>138</v>
      </c>
      <c r="M171" s="1196" t="str">
        <f>"Wie betaald de aflossing a € "&amp;C173</f>
        <v>Wie betaald de aflossing a € 0</v>
      </c>
      <c r="N171" s="1196"/>
      <c r="O171" s="388"/>
      <c r="P171" s="100" t="s">
        <v>733</v>
      </c>
      <c r="Q171" s="23" t="s">
        <v>835</v>
      </c>
      <c r="AF171" s="2340"/>
    </row>
    <row r="172" spans="1:32" ht="16.5" customHeight="1" thickBot="1" x14ac:dyDescent="0.3">
      <c r="A172" s="70">
        <v>82</v>
      </c>
      <c r="B172" s="112" t="s">
        <v>106</v>
      </c>
      <c r="C172" s="35">
        <v>0</v>
      </c>
      <c r="D172" s="668">
        <f>IF($C$172&gt;M158,P158+(O158*$C$172),IF(AND($C$172&gt;M157,$C$172&lt;=N157),O157*$C$172,IF(AND($C$172&gt;M156,$C$172&lt;=N156),O156*$C$172,IF(AND($C$172&gt;M155,$C$172&lt;=N155),O155*$C$172,IF(AND($C$172&gt;M154,$C$172&lt;=N154),O154*$C$172,IF(AND($C$172&gt;M153,$C$172&lt;=N153),O153*$C$172,0))))))</f>
        <v>0</v>
      </c>
      <c r="E172" s="902">
        <f>IF(BGOEWRekenModule="Ja","Zie OEW",D172-F172)</f>
        <v>0</v>
      </c>
      <c r="F172" s="1217">
        <v>0</v>
      </c>
      <c r="G172" s="2802"/>
      <c r="H172" s="2904"/>
      <c r="I172" s="2904"/>
      <c r="J172" s="2905"/>
      <c r="L172" s="29">
        <v>84</v>
      </c>
      <c r="M172" s="1196" t="str">
        <f>"Wie betaald periode betaling erfpacht a € "&amp;D177&amp;",- ?"</f>
        <v>Wie betaald periode betaling erfpacht a € 0,- ?</v>
      </c>
      <c r="N172" s="1196"/>
      <c r="O172" s="388"/>
      <c r="P172" s="100" t="s">
        <v>733</v>
      </c>
      <c r="Q172" s="23" t="s">
        <v>835</v>
      </c>
      <c r="AF172" s="2340"/>
    </row>
    <row r="173" spans="1:32" ht="15.75" thickBot="1" x14ac:dyDescent="0.3">
      <c r="A173" s="69">
        <v>123</v>
      </c>
      <c r="B173" s="154" t="s">
        <v>750</v>
      </c>
      <c r="C173" s="36">
        <v>0</v>
      </c>
      <c r="D173" s="27" t="s">
        <v>150</v>
      </c>
      <c r="E173" s="331">
        <f>IF(BGOEWRekenModule="Ja","Zie OEW",C173-F173)</f>
        <v>0</v>
      </c>
      <c r="F173" s="1372">
        <v>0</v>
      </c>
      <c r="G173" s="2802"/>
      <c r="H173" s="2904"/>
      <c r="I173" s="2904"/>
      <c r="J173" s="2905"/>
      <c r="L173" s="29"/>
      <c r="M173" s="1196" t="str">
        <f>"Wie betaald de fofaitaire eigenaarslasten a € "&amp;E235&amp;",- ?"</f>
        <v>Wie betaald de fofaitaire eigenaarslasten a € 95,- ?</v>
      </c>
      <c r="N173" s="1196"/>
      <c r="O173" s="388"/>
      <c r="P173" s="100" t="s">
        <v>733</v>
      </c>
      <c r="Q173" s="23" t="s">
        <v>835</v>
      </c>
      <c r="AF173" s="2340"/>
    </row>
    <row r="174" spans="1:32" ht="15.75" thickBot="1" x14ac:dyDescent="0.3">
      <c r="A174" s="69">
        <v>83</v>
      </c>
      <c r="B174" s="154" t="s">
        <v>755</v>
      </c>
      <c r="C174" s="36">
        <v>0</v>
      </c>
      <c r="D174" s="1004">
        <f>C173+C174</f>
        <v>0</v>
      </c>
      <c r="E174" s="1375">
        <f>IF(BGOEWRekenModule="Ja","Zie OEW",C174-F174)</f>
        <v>0</v>
      </c>
      <c r="F174" s="1217">
        <v>0</v>
      </c>
      <c r="G174" s="2802"/>
      <c r="H174" s="2904"/>
      <c r="I174" s="2904"/>
      <c r="J174" s="2905"/>
      <c r="L174" s="29"/>
      <c r="M174" s="1196" t="s">
        <v>716</v>
      </c>
      <c r="N174" s="1196"/>
      <c r="O174" s="388"/>
      <c r="P174" s="36">
        <v>0</v>
      </c>
      <c r="AF174" s="2340"/>
    </row>
    <row r="175" spans="1:32" ht="15" customHeight="1" thickBot="1" x14ac:dyDescent="0.3">
      <c r="A175" s="174">
        <v>83</v>
      </c>
      <c r="B175" s="113" t="s">
        <v>1126</v>
      </c>
      <c r="C175" s="39">
        <v>0</v>
      </c>
      <c r="D175" s="354"/>
      <c r="E175" s="670">
        <f>C175-F175</f>
        <v>0</v>
      </c>
      <c r="F175" s="1377">
        <v>0</v>
      </c>
      <c r="G175" s="2802"/>
      <c r="H175" s="2904"/>
      <c r="I175" s="2904"/>
      <c r="J175" s="2905"/>
      <c r="L175" s="31"/>
      <c r="M175" s="1198" t="s">
        <v>717</v>
      </c>
      <c r="N175" s="1198"/>
      <c r="O175" s="1210"/>
      <c r="P175" s="1037" t="s">
        <v>58</v>
      </c>
      <c r="Q175" s="23" t="s">
        <v>835</v>
      </c>
      <c r="AF175" s="2340"/>
    </row>
    <row r="176" spans="1:32" ht="15.75" thickBot="1" x14ac:dyDescent="0.3">
      <c r="A176" s="169">
        <v>83</v>
      </c>
      <c r="B176" s="2881" t="s">
        <v>834</v>
      </c>
      <c r="C176" s="2894"/>
      <c r="D176" s="1369">
        <f>IF(BG83HypRenteWoning1="Zie OEW",C175,(C174*12)+C175)</f>
        <v>0</v>
      </c>
      <c r="E176" s="1370">
        <f>D176-F176</f>
        <v>0</v>
      </c>
      <c r="F176" s="1373">
        <f>(F174*12)+F175</f>
        <v>0</v>
      </c>
      <c r="G176" s="2802"/>
      <c r="H176" s="2904"/>
      <c r="I176" s="2904"/>
      <c r="J176" s="2905"/>
      <c r="M176" s="1211" t="s">
        <v>735</v>
      </c>
      <c r="N176" s="1212"/>
      <c r="O176" s="1212"/>
      <c r="P176" s="96" t="str">
        <f>IF(OR(BGOEWVerlater="",BGOEW24MndTermijn="",BGOEWRenteBetaler="",BGOEWTotSchuld="",BGOEWDraagkracht=""),"Onbekend",IF(BGOEWRenteBetaler="Beiden 50%","Situatie 3",IF(BGOEWVerlater=BGOEWRenteBetaler,IF(BGOEWDraagkracht="Draagkracht","Situatie 1","Situatie 2"),IF(BGOEWVerlater&lt;&gt;BGOEWRenteBetaler,IF(BGOEWDraagkracht="Draagkracht","Situatie 4","Situatie 5")))))</f>
        <v>Situatie 3</v>
      </c>
      <c r="AF176" s="2340"/>
    </row>
    <row r="177" spans="1:32" ht="15.75" customHeight="1" thickBot="1" x14ac:dyDescent="0.3">
      <c r="A177" s="169">
        <v>84</v>
      </c>
      <c r="B177" s="171" t="s">
        <v>751</v>
      </c>
      <c r="C177" s="54">
        <v>0</v>
      </c>
      <c r="D177" s="1005">
        <f>C177*12</f>
        <v>0</v>
      </c>
      <c r="E177" s="1766">
        <f>IF(BGOEWRekenModule="Ja","Zie OEW",C177-F177)</f>
        <v>0</v>
      </c>
      <c r="F177" s="1378">
        <v>0</v>
      </c>
      <c r="G177" s="2750"/>
      <c r="H177" s="2751"/>
      <c r="I177" s="2751"/>
      <c r="J177" s="2752"/>
      <c r="AF177" s="2340"/>
    </row>
    <row r="178" spans="1:32" ht="15.75" thickBot="1" x14ac:dyDescent="0.3">
      <c r="E178" s="353"/>
      <c r="T178" s="1580" t="str">
        <f>"Te gebruiken OEW-situatie: "&amp;BGOEWSituatie1_5</f>
        <v>Te gebruiken OEW-situatie: Situatie 3</v>
      </c>
      <c r="U178" s="1581"/>
      <c r="V178" s="1598" t="s">
        <v>729</v>
      </c>
      <c r="W178" s="1581"/>
      <c r="X178" s="1598" t="s">
        <v>730</v>
      </c>
      <c r="Y178" s="1598"/>
      <c r="Z178" s="1580" t="s">
        <v>731</v>
      </c>
      <c r="AA178" s="1599"/>
      <c r="AB178" s="1598" t="s">
        <v>732</v>
      </c>
      <c r="AC178" s="1599"/>
      <c r="AD178" s="1580" t="s">
        <v>1040</v>
      </c>
      <c r="AE178" s="1599"/>
      <c r="AF178" s="2340"/>
    </row>
    <row r="179" spans="1:32" ht="15.75" thickBot="1" x14ac:dyDescent="0.3">
      <c r="B179" s="107" t="s">
        <v>826</v>
      </c>
      <c r="P179" s="1259" t="str">
        <f>IF(BGOEWRekenModule="Nee","--",IF($P$165=$P$181,"Verlater","Blijver"))</f>
        <v>--</v>
      </c>
      <c r="Q179" s="1218" t="str">
        <f>IF(BGOEWRekenModule="Nee","--",IF($P$165=$Q$181,"Verlater","Blijver"))</f>
        <v>--</v>
      </c>
      <c r="T179" s="1214" t="str">
        <f ca="1">IF(BGOEWSituatie1_5="Onbekend","--",OFFSET(T179,,2+MATCH(BGOEWSituatie1_5,V$178:AE$178,0)-1))</f>
        <v>Ieder betaald de helft van de rente</v>
      </c>
      <c r="U179" s="1594"/>
      <c r="V179" s="1595" t="s">
        <v>726</v>
      </c>
      <c r="W179" s="1594"/>
      <c r="X179" s="1595" t="s">
        <v>726</v>
      </c>
      <c r="Y179" s="1595"/>
      <c r="Z179" s="1596" t="s">
        <v>727</v>
      </c>
      <c r="AA179" s="1597"/>
      <c r="AB179" s="1595" t="s">
        <v>728</v>
      </c>
      <c r="AC179" s="1597"/>
      <c r="AD179" s="2339" t="s">
        <v>728</v>
      </c>
      <c r="AE179" s="1597"/>
      <c r="AF179" s="2340"/>
    </row>
    <row r="180" spans="1:32" ht="15.75" thickBot="1" x14ac:dyDescent="0.3">
      <c r="B180" s="1513" t="str">
        <f>"Afbouw % bij geen/kleine eigenwoningschuld in "&amp;BGJaarBerekening</f>
        <v>Afbouw % bij geen/kleine eigenwoningschuld in 2023</v>
      </c>
      <c r="C180" s="1549">
        <v>0.83330000000000004</v>
      </c>
      <c r="M180" s="1246"/>
      <c r="N180" s="1247"/>
      <c r="O180" s="1245" t="s">
        <v>756</v>
      </c>
      <c r="P180" s="1260">
        <f>AL41_50BrutoInkomen_AP+AL60Arbeidsinkomen_AP</f>
        <v>0</v>
      </c>
      <c r="Q180" s="1265">
        <f>AL41_50BrutoInkomen_AG+AL60Arbeidsinkomen_AG</f>
        <v>0</v>
      </c>
      <c r="R180" s="986" t="s">
        <v>1063</v>
      </c>
      <c r="T180" s="1214" t="str">
        <f ca="1">IF(BGOEWSituatie1_5="Onbekend","--",OFFSET(T180,,2+MATCH(BGOEWSituatie1_5,V$178:AE$178,0)-1))</f>
        <v>Draagkracht of draagkrachtloos inkomen</v>
      </c>
      <c r="U180" s="1203"/>
      <c r="V180" s="1274" t="s">
        <v>58</v>
      </c>
      <c r="W180" s="1203"/>
      <c r="X180" s="1202" t="s">
        <v>313</v>
      </c>
      <c r="Y180" s="1202"/>
      <c r="Z180" s="1200" t="s">
        <v>725</v>
      </c>
      <c r="AA180" s="1201"/>
      <c r="AB180" s="1202" t="s">
        <v>58</v>
      </c>
      <c r="AC180" s="1201"/>
      <c r="AD180" s="1200" t="s">
        <v>313</v>
      </c>
      <c r="AE180" s="1201"/>
      <c r="AF180" s="2340"/>
    </row>
    <row r="181" spans="1:32" ht="15" customHeight="1" thickBot="1" x14ac:dyDescent="0.3">
      <c r="E181" s="2660" t="s">
        <v>179</v>
      </c>
      <c r="F181" s="2661"/>
      <c r="I181" s="21"/>
      <c r="L181" s="65" t="s">
        <v>8</v>
      </c>
      <c r="M181" s="1251" t="s">
        <v>74</v>
      </c>
      <c r="N181" s="1252"/>
      <c r="O181" s="1252"/>
      <c r="P181" s="1258" t="str">
        <f>BGPartnerAP</f>
        <v>AP</v>
      </c>
      <c r="Q181" s="1199" t="str">
        <f>BGPartnerAG</f>
        <v>AG</v>
      </c>
      <c r="R181" s="1307" t="s">
        <v>737</v>
      </c>
      <c r="S181" s="1270" t="s">
        <v>74</v>
      </c>
      <c r="T181" s="65" t="s">
        <v>723</v>
      </c>
      <c r="U181" s="1671" t="s">
        <v>724</v>
      </c>
      <c r="V181" s="1672" t="s">
        <v>723</v>
      </c>
      <c r="W181" s="1671" t="s">
        <v>724</v>
      </c>
      <c r="X181" s="1672" t="s">
        <v>723</v>
      </c>
      <c r="Y181" s="66" t="s">
        <v>724</v>
      </c>
      <c r="Z181" s="65" t="s">
        <v>723</v>
      </c>
      <c r="AA181" s="1671" t="s">
        <v>724</v>
      </c>
      <c r="AB181" s="1672" t="s">
        <v>723</v>
      </c>
      <c r="AC181" s="1671" t="s">
        <v>724</v>
      </c>
      <c r="AD181" s="5" t="s">
        <v>723</v>
      </c>
      <c r="AE181" s="119" t="s">
        <v>724</v>
      </c>
      <c r="AF181" s="2340"/>
    </row>
    <row r="182" spans="1:32" x14ac:dyDescent="0.25">
      <c r="E182" s="2891" t="str">
        <f>BGPartnerAG</f>
        <v>AG</v>
      </c>
      <c r="F182" s="2891" t="str">
        <f>BGPartnerAP</f>
        <v>AP</v>
      </c>
      <c r="L182" s="632">
        <v>81</v>
      </c>
      <c r="M182" s="1243" t="s">
        <v>743</v>
      </c>
      <c r="N182" s="1197"/>
      <c r="O182" s="1197"/>
      <c r="P182" s="1261">
        <f t="shared" ref="P182:Q186" ca="1" si="29">IF(P$179=$T$181,$T182*BGOEWEWF,$U182*BGOEWEWF)</f>
        <v>0</v>
      </c>
      <c r="Q182" s="1266">
        <f t="shared" ca="1" si="29"/>
        <v>0</v>
      </c>
      <c r="R182" s="1308" t="s">
        <v>739</v>
      </c>
      <c r="S182" s="1304" t="str">
        <f t="shared" ref="S182:S193" si="30">M182</f>
        <v>Eigen Woning Forfait ontvangen als partneralimentatie</v>
      </c>
      <c r="T182" s="1280">
        <f ca="1">IF(OR(BGOEWRekenModule="Nee",BGOEWSituatie1_5="Onbekend"),0,OFFSET(T182,,2+MATCH(BGOEWSituatie1_5,V178:AE178,0)-1))</f>
        <v>0</v>
      </c>
      <c r="U182" s="1281">
        <f t="shared" ref="U182:U193" ca="1" si="31">IF(OR(BGOEWRekenModule="Nee",BGOEWSituatie1_5="Onbekend"),0,OFFSET(U182,,2+MATCH(BGOEWSituatie1_5,V$178:AE$178,0)-1))</f>
        <v>0</v>
      </c>
      <c r="V182" s="2267">
        <v>0</v>
      </c>
      <c r="W182" s="1600">
        <v>0.5</v>
      </c>
      <c r="X182" s="1275">
        <v>0</v>
      </c>
      <c r="Y182" s="2270">
        <v>0.5</v>
      </c>
      <c r="Z182" s="2267">
        <v>0</v>
      </c>
      <c r="AA182" s="1600">
        <v>0.5</v>
      </c>
      <c r="AB182" s="1275">
        <v>0</v>
      </c>
      <c r="AC182" s="1600">
        <v>0.5</v>
      </c>
      <c r="AD182" s="1275">
        <v>0</v>
      </c>
      <c r="AE182" s="1600">
        <v>0.5</v>
      </c>
      <c r="AF182" s="2340"/>
    </row>
    <row r="183" spans="1:32" ht="16.5" thickBot="1" x14ac:dyDescent="0.3">
      <c r="B183" s="685" t="str">
        <f>CONCATENATE("Eigen woningbezit ",D4," (indien van toepassing)")</f>
        <v>Eigen woningbezit AG (indien van toepassing)</v>
      </c>
      <c r="E183" s="2892"/>
      <c r="F183" s="2892"/>
      <c r="L183" s="282" t="s">
        <v>720</v>
      </c>
      <c r="M183" s="1244" t="s">
        <v>744</v>
      </c>
      <c r="N183" s="1196"/>
      <c r="O183" s="1196"/>
      <c r="P183" s="1262">
        <f t="shared" ca="1" si="29"/>
        <v>0</v>
      </c>
      <c r="Q183" s="1267">
        <f t="shared" ca="1" si="29"/>
        <v>0</v>
      </c>
      <c r="R183" s="1309" t="s">
        <v>739</v>
      </c>
      <c r="S183" s="1305" t="str">
        <f t="shared" si="30"/>
        <v>Eigen Woning Forfait van de Onverdeeld Eigen Woning</v>
      </c>
      <c r="T183" s="1282">
        <f t="shared" ref="T183:T193" ca="1" si="32">IF(OR(BGOEWRekenModule="Nee",BGOEWSituatie1_5="Onbekend"),0,OFFSET(T183,,2+MATCH(BGOEWSituatie1_5,V$178:AE$178,0)-1))</f>
        <v>0</v>
      </c>
      <c r="U183" s="1283">
        <f t="shared" ca="1" si="31"/>
        <v>0</v>
      </c>
      <c r="V183" s="1282">
        <f>IF(BGOEW24MndTermijn="Nee",0.5,0)</f>
        <v>0.5</v>
      </c>
      <c r="W183" s="1601">
        <v>0.5</v>
      </c>
      <c r="X183" s="1276">
        <f>IF(BGOEW24MndTermijn="Nee",0.5,0)</f>
        <v>0.5</v>
      </c>
      <c r="Y183" s="2271">
        <v>0.5</v>
      </c>
      <c r="Z183" s="1282">
        <f>IF(BGOEW24MndTermijn="Nee",0.5,0)</f>
        <v>0.5</v>
      </c>
      <c r="AA183" s="1601">
        <v>0.5</v>
      </c>
      <c r="AB183" s="1276">
        <f>IF(BGOEW24MndTermijn="Nee",0.5,0)</f>
        <v>0.5</v>
      </c>
      <c r="AC183" s="1601">
        <v>0.5</v>
      </c>
      <c r="AD183" s="1276">
        <f>IF(BGOEW24MndTermijn="Nee",0.5,0)</f>
        <v>0.5</v>
      </c>
      <c r="AE183" s="1601">
        <v>0.5</v>
      </c>
      <c r="AF183" s="2340"/>
    </row>
    <row r="184" spans="1:32" ht="15" customHeight="1" thickBot="1" x14ac:dyDescent="0.3">
      <c r="A184" s="9" t="s">
        <v>249</v>
      </c>
      <c r="B184" s="170" t="s">
        <v>105</v>
      </c>
      <c r="C184" s="9" t="s">
        <v>99</v>
      </c>
      <c r="D184" s="56" t="s">
        <v>102</v>
      </c>
      <c r="E184" s="2893"/>
      <c r="F184" s="2893"/>
      <c r="L184" s="282" t="s">
        <v>705</v>
      </c>
      <c r="M184" s="1244" t="s">
        <v>745</v>
      </c>
      <c r="N184" s="1196"/>
      <c r="O184" s="1196"/>
      <c r="P184" s="1262">
        <f t="shared" ca="1" si="29"/>
        <v>0</v>
      </c>
      <c r="Q184" s="1267">
        <f t="shared" ca="1" si="29"/>
        <v>0</v>
      </c>
      <c r="R184" s="1310" t="s">
        <v>741</v>
      </c>
      <c r="S184" s="1305" t="str">
        <f t="shared" si="30"/>
        <v>Eigen Woning Forfait betaald als partneralimentatie</v>
      </c>
      <c r="T184" s="1282">
        <f t="shared" ca="1" si="32"/>
        <v>0</v>
      </c>
      <c r="U184" s="1283">
        <f t="shared" ca="1" si="31"/>
        <v>0</v>
      </c>
      <c r="V184" s="2268">
        <v>0.5</v>
      </c>
      <c r="W184" s="1601">
        <v>0</v>
      </c>
      <c r="X184" s="1277">
        <v>0.5</v>
      </c>
      <c r="Y184" s="2271">
        <v>0</v>
      </c>
      <c r="Z184" s="2268">
        <v>0.5</v>
      </c>
      <c r="AA184" s="1601">
        <v>0</v>
      </c>
      <c r="AB184" s="1277">
        <v>0.5</v>
      </c>
      <c r="AC184" s="1601">
        <v>0</v>
      </c>
      <c r="AD184" s="1277">
        <v>0.5</v>
      </c>
      <c r="AE184" s="1601">
        <v>0</v>
      </c>
      <c r="AF184" s="2340"/>
    </row>
    <row r="185" spans="1:32" ht="15.75" thickBot="1" x14ac:dyDescent="0.3">
      <c r="A185" s="70">
        <v>82</v>
      </c>
      <c r="B185" s="112" t="s">
        <v>106</v>
      </c>
      <c r="C185" s="35">
        <v>0</v>
      </c>
      <c r="D185" s="668">
        <f>IF($C$185&gt;M158,P158+(O158*$C$185),IF(AND($C$185&gt;M157,$C$185&lt;=N157),O157*$C$185,IF(AND($C$185&gt;M156,$C$185&lt;=N156),O156*$C$185,IF(AND($C$185&gt;M155,$C$185&lt;=N155),O155*$C$185,IF(AND($C$185&gt;M154,$C$185&lt;=N154),O154*$C$185,IF(AND($C$185&gt;M153,$C$185&lt;=N153),O153*$C$185,0))))))</f>
        <v>0</v>
      </c>
      <c r="E185" s="669">
        <f>D185-F185</f>
        <v>0</v>
      </c>
      <c r="F185" s="81">
        <v>0</v>
      </c>
      <c r="L185" s="282">
        <v>104</v>
      </c>
      <c r="M185" s="1244" t="s">
        <v>1064</v>
      </c>
      <c r="N185" s="1196"/>
      <c r="O185" s="1196"/>
      <c r="P185" s="1262">
        <f t="shared" ca="1" si="29"/>
        <v>0</v>
      </c>
      <c r="Q185" s="1267">
        <f t="shared" ca="1" si="29"/>
        <v>0</v>
      </c>
      <c r="R185" s="1309" t="s">
        <v>739</v>
      </c>
      <c r="S185" s="1305" t="str">
        <f t="shared" si="30"/>
        <v>Eigen Woning Forfait aandeel in  box 3</v>
      </c>
      <c r="T185" s="1282">
        <f t="shared" ca="1" si="32"/>
        <v>0</v>
      </c>
      <c r="U185" s="1283">
        <f t="shared" ca="1" si="31"/>
        <v>0</v>
      </c>
      <c r="V185" s="1282">
        <f>IF(BGOEW24MndTermijn="Nee",0,0.5)</f>
        <v>0</v>
      </c>
      <c r="W185" s="1601">
        <v>0</v>
      </c>
      <c r="X185" s="1276">
        <f>IF(BGOEW24MndTermijn="Nee",0,0.5)</f>
        <v>0</v>
      </c>
      <c r="Y185" s="2271">
        <v>0</v>
      </c>
      <c r="Z185" s="1282">
        <f>IF(BGOEW24MndTermijn="Nee",0,0.5)</f>
        <v>0</v>
      </c>
      <c r="AA185" s="1601">
        <v>0</v>
      </c>
      <c r="AB185" s="1276">
        <f>IF(BGOEW24MndTermijn="Nee",0,0.5)</f>
        <v>0</v>
      </c>
      <c r="AC185" s="1601">
        <v>0</v>
      </c>
      <c r="AD185" s="1276">
        <f>IF(BGOEW24MndTermijn="Nee",0,0.5)</f>
        <v>0</v>
      </c>
      <c r="AE185" s="1601">
        <v>0</v>
      </c>
      <c r="AF185" s="2340"/>
    </row>
    <row r="186" spans="1:32" ht="15.75" thickBot="1" x14ac:dyDescent="0.3">
      <c r="A186" s="69"/>
      <c r="B186" s="154" t="s">
        <v>750</v>
      </c>
      <c r="C186" s="36">
        <v>0</v>
      </c>
      <c r="D186" s="27" t="s">
        <v>150</v>
      </c>
      <c r="E186" s="1374">
        <f>C186-F186</f>
        <v>0</v>
      </c>
      <c r="F186" s="279">
        <v>0</v>
      </c>
      <c r="L186" s="1240" t="s">
        <v>722</v>
      </c>
      <c r="M186" s="437" t="s">
        <v>753</v>
      </c>
      <c r="N186" s="1198"/>
      <c r="O186" s="1198"/>
      <c r="P186" s="1263">
        <f t="shared" ca="1" si="29"/>
        <v>0</v>
      </c>
      <c r="Q186" s="1268">
        <f t="shared" ca="1" si="29"/>
        <v>0</v>
      </c>
      <c r="R186" s="1311" t="s">
        <v>739</v>
      </c>
      <c r="S186" s="1306" t="str">
        <f t="shared" si="30"/>
        <v>Eigen Woning Forfait bijdrage ZVW over EWF berekenen over</v>
      </c>
      <c r="T186" s="1284">
        <f t="shared" ca="1" si="32"/>
        <v>0</v>
      </c>
      <c r="U186" s="1285">
        <f t="shared" ca="1" si="31"/>
        <v>0</v>
      </c>
      <c r="V186" s="2269">
        <v>0</v>
      </c>
      <c r="W186" s="1602">
        <v>0.5</v>
      </c>
      <c r="X186" s="1278">
        <v>0</v>
      </c>
      <c r="Y186" s="2272">
        <v>0.5</v>
      </c>
      <c r="Z186" s="2269">
        <v>0</v>
      </c>
      <c r="AA186" s="1602">
        <v>0.5</v>
      </c>
      <c r="AB186" s="1278">
        <v>0</v>
      </c>
      <c r="AC186" s="1602">
        <v>0.5</v>
      </c>
      <c r="AD186" s="1278">
        <v>0</v>
      </c>
      <c r="AE186" s="1602">
        <v>0.5</v>
      </c>
      <c r="AF186" s="2340"/>
    </row>
    <row r="187" spans="1:32" ht="15.75" thickBot="1" x14ac:dyDescent="0.3">
      <c r="A187" s="69">
        <v>83</v>
      </c>
      <c r="B187" s="154" t="s">
        <v>755</v>
      </c>
      <c r="C187" s="36">
        <v>0</v>
      </c>
      <c r="D187" s="1004">
        <f>C186+C187</f>
        <v>0</v>
      </c>
      <c r="E187" s="669">
        <f>C187-F187</f>
        <v>0</v>
      </c>
      <c r="F187" s="81">
        <v>0</v>
      </c>
      <c r="L187" s="632">
        <v>81</v>
      </c>
      <c r="M187" s="1243" t="s">
        <v>746</v>
      </c>
      <c r="N187" s="1197"/>
      <c r="O187" s="1197"/>
      <c r="P187" s="1261">
        <f t="shared" ref="P187:Q192" ca="1" si="33">IF(P$179=$T$181,$T187*BGOEWTotRente,$U187*BGOEWTotRente)</f>
        <v>0</v>
      </c>
      <c r="Q187" s="1266">
        <f t="shared" ca="1" si="33"/>
        <v>0</v>
      </c>
      <c r="R187" s="1308" t="s">
        <v>739</v>
      </c>
      <c r="S187" s="1304" t="str">
        <f t="shared" si="30"/>
        <v>Rente ontvangen als partneralimentatie</v>
      </c>
      <c r="T187" s="1280">
        <f t="shared" ca="1" si="32"/>
        <v>0</v>
      </c>
      <c r="U187" s="1281">
        <f t="shared" ca="1" si="31"/>
        <v>0</v>
      </c>
      <c r="V187" s="2267">
        <v>0</v>
      </c>
      <c r="W187" s="1600">
        <v>0.5</v>
      </c>
      <c r="X187" s="1275">
        <v>0</v>
      </c>
      <c r="Y187" s="2270">
        <v>0.5</v>
      </c>
      <c r="Z187" s="2267">
        <v>0</v>
      </c>
      <c r="AA187" s="1600">
        <v>0</v>
      </c>
      <c r="AB187" s="1275">
        <v>0.5</v>
      </c>
      <c r="AC187" s="1600">
        <v>0</v>
      </c>
      <c r="AD187" s="1275">
        <v>0.5</v>
      </c>
      <c r="AE187" s="1600">
        <v>0</v>
      </c>
      <c r="AF187" s="2340"/>
    </row>
    <row r="188" spans="1:32" ht="15.75" thickBot="1" x14ac:dyDescent="0.3">
      <c r="A188" s="174">
        <v>83</v>
      </c>
      <c r="B188" s="113" t="s">
        <v>1126</v>
      </c>
      <c r="C188" s="39">
        <v>0</v>
      </c>
      <c r="D188" s="354"/>
      <c r="E188" s="235">
        <f>C188-F188</f>
        <v>0</v>
      </c>
      <c r="F188" s="82">
        <v>0</v>
      </c>
      <c r="L188" s="282" t="s">
        <v>721</v>
      </c>
      <c r="M188" s="1244" t="s">
        <v>749</v>
      </c>
      <c r="N188" s="1196"/>
      <c r="O188" s="1196"/>
      <c r="P188" s="1262">
        <f t="shared" ca="1" si="33"/>
        <v>0</v>
      </c>
      <c r="Q188" s="1267">
        <f t="shared" ca="1" si="33"/>
        <v>0</v>
      </c>
      <c r="R188" s="1310" t="s">
        <v>740</v>
      </c>
      <c r="S188" s="1305" t="str">
        <f t="shared" si="30"/>
        <v>Rente Onverdeeld Eigen Woning Eigen aandeel</v>
      </c>
      <c r="T188" s="1282">
        <f t="shared" ca="1" si="32"/>
        <v>0</v>
      </c>
      <c r="U188" s="1283">
        <f t="shared" ca="1" si="31"/>
        <v>0</v>
      </c>
      <c r="V188" s="1282">
        <f>IF(BGOEW24MndTermijn="Nee",0.5,0)</f>
        <v>0.5</v>
      </c>
      <c r="W188" s="1601">
        <v>0.5</v>
      </c>
      <c r="X188" s="1276">
        <f>IF(BGOEW24MndTermijn="Nee",0.5,0)</f>
        <v>0.5</v>
      </c>
      <c r="Y188" s="2271">
        <v>0.5</v>
      </c>
      <c r="Z188" s="1282">
        <f>IF(BGOEW24MndTermijn="Nee",0.5,0)</f>
        <v>0.5</v>
      </c>
      <c r="AA188" s="1601">
        <v>0.5</v>
      </c>
      <c r="AB188" s="1276">
        <f>IF(BGOEW24MndTermijn="Nee",0.5,0)</f>
        <v>0.5</v>
      </c>
      <c r="AC188" s="1601">
        <v>0.5</v>
      </c>
      <c r="AD188" s="1282">
        <f>IF(BGOEW24MndTermijn="Nee",0.5,0)</f>
        <v>0.5</v>
      </c>
      <c r="AE188" s="1601">
        <v>0.5</v>
      </c>
      <c r="AF188" s="2340"/>
    </row>
    <row r="189" spans="1:32" ht="15.75" thickBot="1" x14ac:dyDescent="0.3">
      <c r="A189" s="169">
        <v>83</v>
      </c>
      <c r="B189" s="2881" t="s">
        <v>834</v>
      </c>
      <c r="C189" s="2882"/>
      <c r="D189" s="671">
        <f>(C187*12)+C188</f>
        <v>0</v>
      </c>
      <c r="E189" s="1370">
        <f>D189-F189</f>
        <v>0</v>
      </c>
      <c r="F189" s="1376">
        <f>(F187*12)+F188</f>
        <v>0</v>
      </c>
      <c r="L189" s="282" t="s">
        <v>721</v>
      </c>
      <c r="M189" s="1244" t="s">
        <v>748</v>
      </c>
      <c r="N189" s="1196"/>
      <c r="O189" s="1196"/>
      <c r="P189" s="1262">
        <f t="shared" ca="1" si="33"/>
        <v>0</v>
      </c>
      <c r="Q189" s="1267">
        <f t="shared" ca="1" si="33"/>
        <v>0</v>
      </c>
      <c r="R189" s="1310" t="s">
        <v>740</v>
      </c>
      <c r="S189" s="1305" t="str">
        <f t="shared" si="30"/>
        <v>Rente betaald voor ex. partner als partneralimentatie</v>
      </c>
      <c r="T189" s="1282">
        <f t="shared" ca="1" si="32"/>
        <v>0</v>
      </c>
      <c r="U189" s="1283">
        <f t="shared" ca="1" si="31"/>
        <v>0</v>
      </c>
      <c r="V189" s="2268">
        <v>0</v>
      </c>
      <c r="W189" s="1601">
        <v>0</v>
      </c>
      <c r="X189" s="1277">
        <v>0.5</v>
      </c>
      <c r="Y189" s="2271">
        <v>0</v>
      </c>
      <c r="Z189" s="2268">
        <v>0</v>
      </c>
      <c r="AA189" s="1601">
        <v>0</v>
      </c>
      <c r="AB189" s="1277">
        <v>0</v>
      </c>
      <c r="AC189" s="1601">
        <v>0</v>
      </c>
      <c r="AD189" s="1277">
        <v>0</v>
      </c>
      <c r="AE189" s="1601">
        <v>0.5</v>
      </c>
      <c r="AF189" s="2340"/>
    </row>
    <row r="190" spans="1:32" ht="15.75" thickBot="1" x14ac:dyDescent="0.3">
      <c r="A190" s="169">
        <v>84</v>
      </c>
      <c r="B190" s="171" t="s">
        <v>751</v>
      </c>
      <c r="C190" s="54">
        <v>0</v>
      </c>
      <c r="D190" s="1005">
        <f>E190*12</f>
        <v>0</v>
      </c>
      <c r="E190" s="1371">
        <f>C190-F190</f>
        <v>0</v>
      </c>
      <c r="F190" s="143">
        <v>0</v>
      </c>
      <c r="L190" s="1241" t="s">
        <v>722</v>
      </c>
      <c r="M190" s="1244" t="s">
        <v>752</v>
      </c>
      <c r="N190" s="1196"/>
      <c r="O190" s="1196"/>
      <c r="P190" s="1262">
        <f t="shared" ca="1" si="33"/>
        <v>0</v>
      </c>
      <c r="Q190" s="1267">
        <f t="shared" ca="1" si="33"/>
        <v>0</v>
      </c>
      <c r="R190" s="1309" t="s">
        <v>739</v>
      </c>
      <c r="S190" s="1305" t="str">
        <f t="shared" si="30"/>
        <v>Rente bijdrage ZVW over de rente berekenen over</v>
      </c>
      <c r="T190" s="1282">
        <f t="shared" ca="1" si="32"/>
        <v>0</v>
      </c>
      <c r="U190" s="1283">
        <f t="shared" ca="1" si="31"/>
        <v>0</v>
      </c>
      <c r="V190" s="2268">
        <v>0</v>
      </c>
      <c r="W190" s="1601">
        <v>0.5</v>
      </c>
      <c r="X190" s="1277">
        <v>0</v>
      </c>
      <c r="Y190" s="2271">
        <v>0.5</v>
      </c>
      <c r="Z190" s="2268">
        <v>0</v>
      </c>
      <c r="AA190" s="1601">
        <v>0</v>
      </c>
      <c r="AB190" s="1277">
        <v>0.5</v>
      </c>
      <c r="AC190" s="1601">
        <v>0</v>
      </c>
      <c r="AD190" s="1277">
        <v>0.5</v>
      </c>
      <c r="AE190" s="1601">
        <v>0</v>
      </c>
      <c r="AF190" s="2340"/>
    </row>
    <row r="191" spans="1:32" ht="15.75" customHeight="1" x14ac:dyDescent="0.25">
      <c r="E191" s="353"/>
      <c r="L191" s="282">
        <v>123</v>
      </c>
      <c r="M191" s="1244" t="s">
        <v>747</v>
      </c>
      <c r="N191" s="1196"/>
      <c r="O191" s="1196"/>
      <c r="P191" s="1262">
        <f t="shared" ca="1" si="33"/>
        <v>0</v>
      </c>
      <c r="Q191" s="1267">
        <f t="shared" ca="1" si="33"/>
        <v>0</v>
      </c>
      <c r="R191" s="1309" t="s">
        <v>739</v>
      </c>
      <c r="S191" s="1305" t="str">
        <f t="shared" si="30"/>
        <v>Rente Onverdeeld Eigen Woning</v>
      </c>
      <c r="T191" s="1282">
        <f t="shared" ca="1" si="32"/>
        <v>0</v>
      </c>
      <c r="U191" s="1283">
        <f t="shared" ca="1" si="31"/>
        <v>0</v>
      </c>
      <c r="V191" s="2268">
        <v>0.5</v>
      </c>
      <c r="W191" s="1601">
        <v>0</v>
      </c>
      <c r="X191" s="1277">
        <v>1</v>
      </c>
      <c r="Y191" s="2271">
        <v>0</v>
      </c>
      <c r="Z191" s="2268">
        <v>0.5</v>
      </c>
      <c r="AA191" s="1601">
        <v>0.5</v>
      </c>
      <c r="AB191" s="1277">
        <v>0</v>
      </c>
      <c r="AC191" s="1601">
        <v>0.5</v>
      </c>
      <c r="AD191" s="1277">
        <v>0</v>
      </c>
      <c r="AE191" s="1601">
        <v>1</v>
      </c>
      <c r="AF191" s="2340"/>
    </row>
    <row r="192" spans="1:32" ht="15.75" thickBot="1" x14ac:dyDescent="0.3">
      <c r="L192" s="576">
        <v>138</v>
      </c>
      <c r="M192" s="437" t="s">
        <v>748</v>
      </c>
      <c r="N192" s="1198"/>
      <c r="O192" s="1198"/>
      <c r="P192" s="1263">
        <f t="shared" ca="1" si="33"/>
        <v>0</v>
      </c>
      <c r="Q192" s="1268">
        <f t="shared" ca="1" si="33"/>
        <v>0</v>
      </c>
      <c r="R192" s="1312" t="s">
        <v>741</v>
      </c>
      <c r="S192" s="1306" t="str">
        <f t="shared" si="30"/>
        <v>Rente betaald voor ex. partner als partneralimentatie</v>
      </c>
      <c r="T192" s="1284">
        <f t="shared" ca="1" si="32"/>
        <v>0</v>
      </c>
      <c r="U192" s="1285">
        <f t="shared" ca="1" si="31"/>
        <v>0</v>
      </c>
      <c r="V192" s="2269">
        <v>0.5</v>
      </c>
      <c r="W192" s="1602">
        <v>0</v>
      </c>
      <c r="X192" s="1278">
        <v>0</v>
      </c>
      <c r="Y192" s="2272"/>
      <c r="Z192" s="2269">
        <v>0</v>
      </c>
      <c r="AA192" s="1602">
        <v>0</v>
      </c>
      <c r="AB192" s="1278">
        <v>0</v>
      </c>
      <c r="AC192" s="1602">
        <v>0.5</v>
      </c>
      <c r="AD192" s="1278">
        <v>0</v>
      </c>
      <c r="AE192" s="1602">
        <v>0</v>
      </c>
      <c r="AF192" s="2340"/>
    </row>
    <row r="193" spans="1:32" ht="15" customHeight="1" thickBot="1" x14ac:dyDescent="0.3">
      <c r="B193" s="685" t="s">
        <v>947</v>
      </c>
      <c r="E193" s="983" t="str">
        <f>IF(P179="Verlater",Basisgegevens!P181,Basisgegevens!Q181)</f>
        <v>AG</v>
      </c>
      <c r="F193" s="983"/>
      <c r="L193" s="169">
        <v>104</v>
      </c>
      <c r="M193" s="1242" t="s">
        <v>754</v>
      </c>
      <c r="N193" s="1242"/>
      <c r="O193" s="1242"/>
      <c r="P193" s="1264">
        <f ca="1">IF(P$179=$T$181,$T193*BGOEWTotSchuld,$U193*BGOEWTotSchuld)</f>
        <v>0</v>
      </c>
      <c r="Q193" s="1269">
        <f ca="1">IF(Q$179=$T$181,$T193*BGOEWTotSchuld,$U193*BGOEWTotSchuld)</f>
        <v>0</v>
      </c>
      <c r="R193" s="1313" t="s">
        <v>739</v>
      </c>
      <c r="S193" s="1273" t="str">
        <f t="shared" si="30"/>
        <v xml:space="preserve">Aandeel in schuld van de Onverdeeld Eigen Woning in box 3 </v>
      </c>
      <c r="T193" s="1215">
        <f t="shared" ca="1" si="32"/>
        <v>0</v>
      </c>
      <c r="U193" s="1216">
        <f t="shared" ca="1" si="31"/>
        <v>0</v>
      </c>
      <c r="V193" s="1215">
        <f>IF(BGOEW24MndTermijn="Nee",0,0.5)</f>
        <v>0</v>
      </c>
      <c r="W193" s="1239">
        <v>0</v>
      </c>
      <c r="X193" s="1279">
        <f>IF(BGOEW24MndTermijn="Nee",0,0.5)</f>
        <v>0</v>
      </c>
      <c r="Y193" s="2273">
        <v>0</v>
      </c>
      <c r="Z193" s="1215">
        <f>IF(BGOEW24MndTermijn="Nee",0,0.5)</f>
        <v>0</v>
      </c>
      <c r="AA193" s="1239">
        <v>0</v>
      </c>
      <c r="AB193" s="1279">
        <f>IF(BGOEW24MndTermijn="Nee",0,0.5)</f>
        <v>0</v>
      </c>
      <c r="AC193" s="1239">
        <v>0</v>
      </c>
      <c r="AD193" s="1279">
        <f>IF(BGOEW24MndTermijn="Nee",0,0.5)</f>
        <v>0</v>
      </c>
      <c r="AE193" s="1239">
        <v>0</v>
      </c>
      <c r="AF193" s="2340"/>
    </row>
    <row r="194" spans="1:32" ht="15.75" customHeight="1" thickBot="1" x14ac:dyDescent="0.3">
      <c r="A194" s="9" t="s">
        <v>249</v>
      </c>
      <c r="B194" s="2900" t="s">
        <v>105</v>
      </c>
      <c r="C194" s="2901"/>
      <c r="D194" s="2902"/>
      <c r="E194" s="9" t="s">
        <v>932</v>
      </c>
      <c r="F194" s="363" t="s">
        <v>215</v>
      </c>
      <c r="G194" s="1763"/>
      <c r="H194" s="1763"/>
      <c r="I194" s="1764"/>
      <c r="L194" s="169" t="s">
        <v>722</v>
      </c>
      <c r="M194" s="1248" t="str">
        <f ca="1">"Afdracht ZVW over EWF en/of Rente a € "&amp;P186+P190&amp;" (AP) /"&amp;Q186+Q190&amp;" (AG)"</f>
        <v>Afdracht ZVW over EWF en/of Rente a € 0 (AP) /0 (AG)</v>
      </c>
      <c r="N194" s="1249"/>
      <c r="O194" s="1250"/>
      <c r="P194" s="1271">
        <f ca="1">IF(OR(P186+P190=0,BGZVWJaarInkomen-(AL59Arbeidsinkomen_AP+AL60Arbeidsinkomen_AP+AL75BelastbareWinst_AP)&lt;=0),0,IF(BGZVWJaarInkomen-(AL59Arbeidsinkomen_AP+AL60Arbeidsinkomen_AP+AL75BelastbareWinst_AP)-P186-P190&lt;=0,(BGZVWJaarInkomen-(AL59Arbeidsinkomen_AP+AL60Arbeidsinkomen_AP+AL75BelastbareWinst_AP))*BGZVWPremie,(P186+P190)*BGZVWPremie))</f>
        <v>0</v>
      </c>
      <c r="Q194" s="1272">
        <f ca="1">IF(OR(Q186+Q190=0,BGZVWJaarInkomen-(AL59Arbeidsinkomen_AG+AL60Arbeidsinkomen_AG+IF(AL75BelastbareWinst_AG&lt;=0,0,AL75BelastbareWinst_AG))&lt;=0),0,IF(BGZVWJaarInkomen-(AL59Arbeidsinkomen_AG+AL60Arbeidsinkomen_AG+IF(AL75BelastbareWinst_AG&lt;=0,0,AL75BelastbareWinst_AG))-Q186-Q190&lt;=0,(BGZVWJaarInkomen-(AL59Arbeidsinkomen_AG+AL60Arbeidsinkomen_AG+IF(AL75BelastbareWinst_AG&lt;=0,0,AL75BelastbareWinst_AG)))*BGZVWPremie,(Q186+Q190)*BGZVWPremie))</f>
        <v>0</v>
      </c>
      <c r="R194" s="1313" t="s">
        <v>739</v>
      </c>
      <c r="AF194" s="2340"/>
    </row>
    <row r="195" spans="1:32" ht="15.75" thickBot="1" x14ac:dyDescent="0.3">
      <c r="A195" s="1385" t="s">
        <v>920</v>
      </c>
      <c r="B195" s="2903" t="str">
        <f>"OEW: De maandelijks  aan de verlater: "&amp;IF(P179="Verlater",Basisgegevens!P181,Basisgegevens!Q181)&amp;" te betalen afgesproken woonvergoeding"</f>
        <v>OEW: De maandelijks  aan de verlater: AG te betalen afgesproken woonvergoeding</v>
      </c>
      <c r="C195" s="2763"/>
      <c r="D195" s="2696"/>
      <c r="E195" s="1377">
        <v>0</v>
      </c>
      <c r="F195" s="2747" t="s">
        <v>948</v>
      </c>
      <c r="G195" s="2748"/>
      <c r="H195" s="2748"/>
      <c r="I195" s="2749"/>
      <c r="AF195" s="2340"/>
    </row>
    <row r="196" spans="1:32" ht="15.75" thickBot="1" x14ac:dyDescent="0.3">
      <c r="F196" s="2750"/>
      <c r="G196" s="2751"/>
      <c r="H196" s="2751"/>
      <c r="I196" s="2752"/>
      <c r="AF196" s="2340"/>
    </row>
    <row r="197" spans="1:32" ht="16.5" thickBot="1" x14ac:dyDescent="0.3">
      <c r="E197" s="21"/>
      <c r="F197" s="21"/>
      <c r="M197" s="78" t="s">
        <v>397</v>
      </c>
      <c r="Q197" s="121"/>
      <c r="AF197" s="2340"/>
    </row>
    <row r="198" spans="1:32" ht="16.5" thickBot="1" x14ac:dyDescent="0.3">
      <c r="B198" s="685" t="s">
        <v>934</v>
      </c>
      <c r="E198" s="983" t="str">
        <f>BGPartnerAP</f>
        <v>AP</v>
      </c>
      <c r="F198" s="983" t="str">
        <f>BGPartnerAG</f>
        <v>AG</v>
      </c>
      <c r="M198" s="319" t="s">
        <v>191</v>
      </c>
      <c r="N198" s="6" t="s">
        <v>375</v>
      </c>
      <c r="O198" s="119" t="s">
        <v>0</v>
      </c>
      <c r="Q198" s="121"/>
      <c r="AF198" s="2340"/>
    </row>
    <row r="199" spans="1:32" ht="15.75" thickBot="1" x14ac:dyDescent="0.3">
      <c r="A199" s="9" t="s">
        <v>249</v>
      </c>
      <c r="B199" s="2900" t="s">
        <v>590</v>
      </c>
      <c r="C199" s="2901"/>
      <c r="D199" s="2902"/>
      <c r="E199" s="9" t="s">
        <v>933</v>
      </c>
      <c r="F199" s="1624" t="s">
        <v>933</v>
      </c>
      <c r="G199" s="2720" t="s">
        <v>215</v>
      </c>
      <c r="H199" s="2721"/>
      <c r="I199" s="2721"/>
      <c r="J199" s="2722"/>
      <c r="L199" s="169">
        <v>106</v>
      </c>
      <c r="M199" s="1566">
        <f>BGJaarBerekening</f>
        <v>2023</v>
      </c>
      <c r="N199" s="1121">
        <v>0</v>
      </c>
      <c r="O199" s="1122">
        <v>0</v>
      </c>
      <c r="P199" s="986" t="s">
        <v>690</v>
      </c>
      <c r="AF199" s="2340"/>
    </row>
    <row r="200" spans="1:32" x14ac:dyDescent="0.25">
      <c r="A200" s="70">
        <v>138</v>
      </c>
      <c r="B200" s="2739" t="str">
        <f>"VEW: HypotheekRENTE/Maand die door: "&amp;BGPartnerAP&amp;" wordt betaald voor: "&amp;BGPartnerAG</f>
        <v>VEW: HypotheekRENTE/Maand die door: AP wordt betaald voor: AG</v>
      </c>
      <c r="C200" s="2740"/>
      <c r="D200" s="2741"/>
      <c r="E200" s="981">
        <v>0</v>
      </c>
      <c r="F200" s="982"/>
      <c r="G200" s="2809" t="s">
        <v>742</v>
      </c>
      <c r="H200" s="2810"/>
      <c r="I200" s="2810"/>
      <c r="J200" s="2811"/>
      <c r="AF200" s="2340"/>
    </row>
    <row r="201" spans="1:32" ht="16.5" thickBot="1" x14ac:dyDescent="0.3">
      <c r="A201" s="69">
        <v>138</v>
      </c>
      <c r="B201" s="2804" t="str">
        <f>"VEW: HypotheekRENTE/Maand die door: "&amp;BGPartnerAG&amp;" wordt betaald voor: "&amp;BGPartnerAP</f>
        <v>VEW: HypotheekRENTE/Maand die door: AG wordt betaald voor: AP</v>
      </c>
      <c r="C201" s="2805"/>
      <c r="D201" s="2806"/>
      <c r="E201" s="860"/>
      <c r="F201" s="436">
        <v>0</v>
      </c>
      <c r="G201" s="2812"/>
      <c r="H201" s="2813"/>
      <c r="I201" s="2813"/>
      <c r="J201" s="2814"/>
      <c r="M201" s="1123" t="s">
        <v>674</v>
      </c>
      <c r="O201" s="32" t="s">
        <v>673</v>
      </c>
      <c r="AF201" s="2340"/>
    </row>
    <row r="202" spans="1:32" ht="15.75" thickBot="1" x14ac:dyDescent="0.3">
      <c r="A202" s="9" t="s">
        <v>249</v>
      </c>
      <c r="B202" s="2900" t="s">
        <v>591</v>
      </c>
      <c r="C202" s="2901"/>
      <c r="D202" s="2902"/>
      <c r="E202" s="983" t="str">
        <f>BGPartnerAP</f>
        <v>AP</v>
      </c>
      <c r="F202" s="983" t="str">
        <f>BGPartnerAG</f>
        <v>AG</v>
      </c>
      <c r="G202" s="2812"/>
      <c r="H202" s="2813"/>
      <c r="I202" s="2813"/>
      <c r="J202" s="2814"/>
      <c r="L202" s="1081"/>
      <c r="M202" s="2940" t="s">
        <v>192</v>
      </c>
      <c r="N202" s="2942" t="s">
        <v>193</v>
      </c>
      <c r="AF202" s="2340"/>
    </row>
    <row r="203" spans="1:32" ht="15.75" thickBot="1" x14ac:dyDescent="0.3">
      <c r="A203" s="28">
        <v>138</v>
      </c>
      <c r="B203" s="2739" t="str">
        <f>"VEW: HypotheekAFLOSSING/Maand die door: "&amp;BGPartnerAP&amp;" wordt betaald voor: "&amp;"BGPartnerAG"</f>
        <v>VEW: HypotheekAFLOSSING/Maand die door: AP wordt betaald voor: BGPartnerAG</v>
      </c>
      <c r="C203" s="2740"/>
      <c r="D203" s="2741"/>
      <c r="E203" s="991">
        <v>0</v>
      </c>
      <c r="F203" s="1045"/>
      <c r="G203" s="2812"/>
      <c r="H203" s="2813"/>
      <c r="I203" s="2813"/>
      <c r="J203" s="2814"/>
      <c r="L203" s="1314" t="s">
        <v>191</v>
      </c>
      <c r="M203" s="2941"/>
      <c r="N203" s="2943"/>
      <c r="O203" s="1081"/>
      <c r="AF203" s="2340"/>
    </row>
    <row r="204" spans="1:32" ht="15.75" thickBot="1" x14ac:dyDescent="0.3">
      <c r="A204" s="30">
        <v>138</v>
      </c>
      <c r="B204" s="2804" t="str">
        <f>"VEW: HypotheekAFLOSSING/Maand die door: "&amp;BGPartnerAG&amp;" wordt betaald voor: "&amp;BGPartnerAP</f>
        <v>VEW: HypotheekAFLOSSING/Maand die door: AG wordt betaald voor: AP</v>
      </c>
      <c r="C204" s="2805"/>
      <c r="D204" s="2806"/>
      <c r="E204" s="861"/>
      <c r="F204" s="992">
        <v>0</v>
      </c>
      <c r="G204" s="2815"/>
      <c r="H204" s="2816"/>
      <c r="I204" s="2816"/>
      <c r="J204" s="2817"/>
      <c r="L204" s="1567">
        <f>BGJaarBerekening</f>
        <v>2023</v>
      </c>
      <c r="M204" s="1315">
        <v>57000</v>
      </c>
      <c r="N204" s="1316">
        <v>114000</v>
      </c>
      <c r="O204" s="1081"/>
      <c r="AF204" s="2340"/>
    </row>
    <row r="205" spans="1:32" ht="15.75" thickBot="1" x14ac:dyDescent="0.3">
      <c r="AF205" s="2340"/>
    </row>
    <row r="206" spans="1:32" ht="16.5" thickBot="1" x14ac:dyDescent="0.3">
      <c r="B206" s="801" t="s">
        <v>942</v>
      </c>
      <c r="C206" s="64" t="str">
        <f>BGPartnerAP</f>
        <v>AP</v>
      </c>
      <c r="E206" s="22" t="str">
        <f>BGPartnerAG</f>
        <v>AG</v>
      </c>
      <c r="L206" s="26"/>
      <c r="N206" s="1081"/>
      <c r="O206" s="1068" t="s">
        <v>852</v>
      </c>
      <c r="P206" s="1081"/>
      <c r="Q206" s="1081"/>
      <c r="R206" s="1081"/>
      <c r="S206" s="26"/>
      <c r="AF206" s="2340"/>
    </row>
    <row r="207" spans="1:32" ht="16.5" thickBot="1" x14ac:dyDescent="0.3">
      <c r="B207" s="278" t="s">
        <v>152</v>
      </c>
      <c r="C207" s="45" t="s">
        <v>95</v>
      </c>
      <c r="D207" s="2" t="s">
        <v>895</v>
      </c>
      <c r="E207" s="45" t="s">
        <v>95</v>
      </c>
      <c r="F207" s="2" t="s">
        <v>895</v>
      </c>
      <c r="L207" s="26"/>
      <c r="M207" s="1123" t="s">
        <v>842</v>
      </c>
      <c r="N207" s="1124"/>
      <c r="O207" s="1584" t="s">
        <v>927</v>
      </c>
      <c r="P207" s="1585"/>
      <c r="Q207" s="1584" t="s">
        <v>928</v>
      </c>
      <c r="R207" s="1585"/>
      <c r="T207" s="1584" t="s">
        <v>925</v>
      </c>
      <c r="U207" s="1585"/>
      <c r="V207" s="1584" t="s">
        <v>926</v>
      </c>
      <c r="W207" s="1585"/>
      <c r="AF207" s="2340"/>
    </row>
    <row r="208" spans="1:32" ht="15.75" thickBot="1" x14ac:dyDescent="0.3">
      <c r="A208" s="5" t="s">
        <v>249</v>
      </c>
      <c r="B208" s="111" t="s">
        <v>74</v>
      </c>
      <c r="C208" s="22" t="str">
        <f>IF(C207="Maand","Maandloon",IF(C207="4 Weken","4-Wekenloon",IF(C207="Anders","Anders","")))</f>
        <v>Maandloon</v>
      </c>
      <c r="D208" s="22" t="s">
        <v>1</v>
      </c>
      <c r="E208" s="22" t="str">
        <f>IF(E207="Maand","Maandloon",IF(E207="4 Weken","4-Wekenloon",IF(E207="Anders","Anders","")))</f>
        <v>Maandloon</v>
      </c>
      <c r="F208" s="22" t="s">
        <v>1</v>
      </c>
      <c r="G208" s="2720" t="s">
        <v>215</v>
      </c>
      <c r="H208" s="2721"/>
      <c r="I208" s="2721"/>
      <c r="J208" s="2722"/>
      <c r="L208" s="1564" t="s">
        <v>850</v>
      </c>
      <c r="M208" s="1565" t="s">
        <v>105</v>
      </c>
      <c r="N208" s="1563"/>
      <c r="O208" s="724" t="str">
        <f>BGPartnerAP</f>
        <v>AP</v>
      </c>
      <c r="P208" s="1575" t="str">
        <f>BGPartnerAG</f>
        <v>AG</v>
      </c>
      <c r="Q208" s="1577" t="str">
        <f>BGPartnerAP</f>
        <v>AP</v>
      </c>
      <c r="R208" s="1575" t="str">
        <f>BGPartnerAG</f>
        <v>AG</v>
      </c>
      <c r="S208" s="366" t="s">
        <v>81</v>
      </c>
      <c r="T208" s="1577" t="str">
        <f>BGPartnerAP</f>
        <v>AP</v>
      </c>
      <c r="U208" s="1575" t="str">
        <f>BGPartnerAG</f>
        <v>AG</v>
      </c>
      <c r="V208" s="1577" t="str">
        <f>BGPartnerAP</f>
        <v>AP</v>
      </c>
      <c r="W208" s="1575" t="str">
        <f>BGPartnerAG</f>
        <v>AG</v>
      </c>
      <c r="AF208" s="2340"/>
    </row>
    <row r="209" spans="1:32" ht="17.25" x14ac:dyDescent="0.25">
      <c r="A209" s="67"/>
      <c r="B209" s="112" t="s">
        <v>154</v>
      </c>
      <c r="C209" s="99">
        <v>0</v>
      </c>
      <c r="D209" s="238">
        <f>IF(C$207="Maand",C209*12,IF(C$207="Jaar",C209,0))</f>
        <v>0</v>
      </c>
      <c r="E209" s="99">
        <v>0</v>
      </c>
      <c r="F209" s="238">
        <f>IF(E$207="Maand",E209*12,IF(E$207="Jaar",E209,0))</f>
        <v>0</v>
      </c>
      <c r="G209" s="2739" t="s">
        <v>431</v>
      </c>
      <c r="H209" s="2740"/>
      <c r="I209" s="2740"/>
      <c r="J209" s="2741"/>
      <c r="L209" s="1568" t="s">
        <v>528</v>
      </c>
      <c r="M209" s="1570" t="s">
        <v>849</v>
      </c>
      <c r="N209" s="1582"/>
      <c r="O209" s="515">
        <f>'Alimentatie 2023-02'!D158</f>
        <v>0</v>
      </c>
      <c r="P209" s="1589">
        <f>'Alimentatie 2023-02'!F158</f>
        <v>0</v>
      </c>
      <c r="Q209" s="1586">
        <f t="shared" ref="Q209:R211" si="34">O209*$S209</f>
        <v>0</v>
      </c>
      <c r="R209" s="1587">
        <f t="shared" si="34"/>
        <v>0</v>
      </c>
      <c r="S209" s="1590">
        <v>3.5999999999999999E-3</v>
      </c>
      <c r="T209" s="651">
        <f>'Alimentatie 2023-02'!E158</f>
        <v>0</v>
      </c>
      <c r="U209" s="1589">
        <f>'Alimentatie 2023-02'!G158</f>
        <v>0</v>
      </c>
      <c r="V209" s="1586">
        <f t="shared" ref="V209:W211" si="35">T209*$S209</f>
        <v>0</v>
      </c>
      <c r="W209" s="1587">
        <f t="shared" si="35"/>
        <v>0</v>
      </c>
      <c r="AF209" s="2340"/>
    </row>
    <row r="210" spans="1:32" ht="18" thickBot="1" x14ac:dyDescent="0.3">
      <c r="A210" s="172"/>
      <c r="B210" s="113" t="s">
        <v>155</v>
      </c>
      <c r="C210" s="39">
        <v>0</v>
      </c>
      <c r="D210" s="239">
        <f>IF(C$207="Maand",C210*12,IF(C$207="Jaar",C210,0))</f>
        <v>0</v>
      </c>
      <c r="E210" s="39">
        <v>0</v>
      </c>
      <c r="F210" s="239">
        <f>IF(E$207="Maand",E210*12,IF(E$207="Jaar",E210,0))</f>
        <v>0</v>
      </c>
      <c r="G210" s="2804" t="s">
        <v>432</v>
      </c>
      <c r="H210" s="2805"/>
      <c r="I210" s="2805"/>
      <c r="J210" s="2806"/>
      <c r="L210" s="1241" t="s">
        <v>529</v>
      </c>
      <c r="M210" s="1569" t="s">
        <v>1065</v>
      </c>
      <c r="N210" s="1578"/>
      <c r="O210" s="516">
        <f>SUM('Alimentatie 2023-02'!D159:D161)</f>
        <v>0</v>
      </c>
      <c r="P210" s="1062">
        <f>SUM('Alimentatie 2023-02'!F159:'Alimentatie 2023-02'!F161)</f>
        <v>0</v>
      </c>
      <c r="Q210" s="1111">
        <f t="shared" si="34"/>
        <v>0</v>
      </c>
      <c r="R210" s="1576">
        <f t="shared" si="34"/>
        <v>0</v>
      </c>
      <c r="S210" s="1591">
        <v>6.1699999999999998E-2</v>
      </c>
      <c r="T210" s="653">
        <f>SUM('Alimentatie 2023-02'!E159:E161)</f>
        <v>0</v>
      </c>
      <c r="U210" s="653">
        <f>SUM('Alimentatie 2023-02'!G159:G161)</f>
        <v>0</v>
      </c>
      <c r="V210" s="1111">
        <f t="shared" si="35"/>
        <v>0</v>
      </c>
      <c r="W210" s="1576">
        <f t="shared" si="35"/>
        <v>0</v>
      </c>
      <c r="AF210" s="2340"/>
    </row>
    <row r="211" spans="1:32" ht="18" thickBot="1" x14ac:dyDescent="0.3">
      <c r="A211" s="173" t="s">
        <v>40</v>
      </c>
      <c r="B211" s="114" t="s">
        <v>310</v>
      </c>
      <c r="C211" s="34">
        <f>SUM(C209:C210)</f>
        <v>0</v>
      </c>
      <c r="D211" s="34">
        <f>SUM(D209:D210)</f>
        <v>0</v>
      </c>
      <c r="E211" s="34">
        <f>SUM(E209:E210)</f>
        <v>0</v>
      </c>
      <c r="F211" s="34">
        <f>SUM(F209:F210)</f>
        <v>0</v>
      </c>
      <c r="L211" s="1240" t="s">
        <v>530</v>
      </c>
      <c r="M211" s="1579" t="s">
        <v>851</v>
      </c>
      <c r="N211" s="1583"/>
      <c r="O211" s="517">
        <f>'Alimentatie 2023-02'!D166</f>
        <v>0</v>
      </c>
      <c r="P211" s="1063">
        <f>'Alimentatie 2023-02'!F166</f>
        <v>0</v>
      </c>
      <c r="Q211" s="1113">
        <f t="shared" si="34"/>
        <v>0</v>
      </c>
      <c r="R211" s="1588">
        <f t="shared" si="34"/>
        <v>0</v>
      </c>
      <c r="S211" s="1592">
        <v>2.5700000000000001E-2</v>
      </c>
      <c r="T211" s="1093">
        <f>'Alimentatie 2023-02'!E166</f>
        <v>0</v>
      </c>
      <c r="U211" s="1093">
        <f>'Alimentatie 2023-02'!G166</f>
        <v>0</v>
      </c>
      <c r="V211" s="1113">
        <f t="shared" si="35"/>
        <v>0</v>
      </c>
      <c r="W211" s="1588">
        <f t="shared" si="35"/>
        <v>0</v>
      </c>
      <c r="AF211" s="2340"/>
    </row>
    <row r="212" spans="1:32" ht="15.75" thickBot="1" x14ac:dyDescent="0.3">
      <c r="L212" s="26"/>
      <c r="M212" s="2931" t="s">
        <v>856</v>
      </c>
      <c r="N212" s="2932"/>
      <c r="O212" s="427">
        <f>O209+O210-O211</f>
        <v>0</v>
      </c>
      <c r="P212" s="564">
        <f>P209+P210-P211</f>
        <v>0</v>
      </c>
      <c r="Q212" s="73">
        <f>Q209+Q210-Q211</f>
        <v>0</v>
      </c>
      <c r="R212" s="564">
        <f>R209+R210-R211</f>
        <v>0</v>
      </c>
      <c r="S212" s="18"/>
      <c r="T212" s="73">
        <f>T209+T210-T211</f>
        <v>0</v>
      </c>
      <c r="U212" s="564">
        <f>U209+U210-U211</f>
        <v>0</v>
      </c>
      <c r="V212" s="73">
        <f>V209+V210-V211</f>
        <v>0</v>
      </c>
      <c r="W212" s="564">
        <f>W209+W210-W211</f>
        <v>0</v>
      </c>
      <c r="AF212" s="2340"/>
    </row>
    <row r="213" spans="1:32" ht="16.5" thickBot="1" x14ac:dyDescent="0.3">
      <c r="B213" s="801" t="s">
        <v>222</v>
      </c>
      <c r="AF213" s="2340"/>
    </row>
    <row r="214" spans="1:32" ht="15.75" thickBot="1" x14ac:dyDescent="0.3">
      <c r="A214" s="1164" t="s">
        <v>249</v>
      </c>
      <c r="B214" s="1035" t="s">
        <v>105</v>
      </c>
      <c r="C214" s="49" t="s">
        <v>81</v>
      </c>
      <c r="AF214" s="2340"/>
    </row>
    <row r="215" spans="1:32" x14ac:dyDescent="0.25">
      <c r="A215" s="1738">
        <v>51</v>
      </c>
      <c r="B215" s="803" t="str">
        <f>"Maximum pensioengevend salaris over loon in "&amp;BGJaarBerekening</f>
        <v>Maximum pensioengevend salaris over loon in 2023</v>
      </c>
      <c r="C215" s="1746">
        <v>128810</v>
      </c>
      <c r="AF215" s="2340"/>
    </row>
    <row r="216" spans="1:32" x14ac:dyDescent="0.25">
      <c r="A216" s="1738"/>
      <c r="B216" s="1740" t="str">
        <f>"Tariefsbeperking aftrekposten bij inkomen &gt; €"&amp;N16&amp;" in "&amp;C17</f>
        <v>Tariefsbeperking aftrekposten bij inkomen &gt; €73031 in 2023</v>
      </c>
      <c r="C216" s="1747">
        <v>0.36930000000000002</v>
      </c>
      <c r="D216" s="551" t="s">
        <v>682</v>
      </c>
      <c r="AF216" s="2340"/>
    </row>
    <row r="217" spans="1:32" x14ac:dyDescent="0.25">
      <c r="A217" s="1738">
        <v>101</v>
      </c>
      <c r="B217" s="1741" t="s">
        <v>219</v>
      </c>
      <c r="C217" s="1189">
        <v>0.26900000000000002</v>
      </c>
      <c r="AF217" s="2340"/>
    </row>
    <row r="218" spans="1:32" x14ac:dyDescent="0.25">
      <c r="A218" s="1738">
        <v>112</v>
      </c>
      <c r="B218" s="1741" t="s">
        <v>221</v>
      </c>
      <c r="C218" s="1189">
        <v>0.32</v>
      </c>
      <c r="AF218" s="2340"/>
    </row>
    <row r="219" spans="1:32" x14ac:dyDescent="0.25">
      <c r="A219" s="1738" t="s">
        <v>373</v>
      </c>
      <c r="B219" s="1742" t="s">
        <v>374</v>
      </c>
      <c r="C219" s="1190">
        <v>3400</v>
      </c>
      <c r="D219" s="1068" t="s">
        <v>679</v>
      </c>
      <c r="AF219" s="2340"/>
    </row>
    <row r="220" spans="1:32" x14ac:dyDescent="0.25">
      <c r="A220" s="1738" t="s">
        <v>41</v>
      </c>
      <c r="B220" s="1742" t="s">
        <v>771</v>
      </c>
      <c r="C220" s="1189">
        <v>5.4300000000000001E-2</v>
      </c>
      <c r="D220" s="551" t="s">
        <v>509</v>
      </c>
      <c r="AF220" s="2340"/>
    </row>
    <row r="221" spans="1:32" x14ac:dyDescent="0.25">
      <c r="A221" s="1738"/>
      <c r="B221" s="1742" t="str">
        <f>CONCATENATE("Maximumbijdrage-inkomen ZVW-premie in ",C17)</f>
        <v>Maximumbijdrage-inkomen ZVW-premie in 2023</v>
      </c>
      <c r="C221" s="1190">
        <v>66952</v>
      </c>
      <c r="D221" s="551"/>
      <c r="AF221" s="2340"/>
    </row>
    <row r="222" spans="1:32" x14ac:dyDescent="0.25">
      <c r="A222" s="1738">
        <v>121</v>
      </c>
      <c r="B222" s="1743" t="s">
        <v>900</v>
      </c>
      <c r="C222" s="2333">
        <v>0.3</v>
      </c>
      <c r="AF222" s="2340"/>
    </row>
    <row r="223" spans="1:32" ht="18" thickBot="1" x14ac:dyDescent="0.3">
      <c r="A223" s="1738">
        <v>123</v>
      </c>
      <c r="B223" s="1744" t="s">
        <v>1066</v>
      </c>
      <c r="C223" s="2334">
        <v>350</v>
      </c>
      <c r="AF223" s="2340"/>
    </row>
    <row r="224" spans="1:32" ht="15.75" thickBot="1" x14ac:dyDescent="0.3">
      <c r="A224" s="1737">
        <v>123</v>
      </c>
      <c r="B224" s="1739" t="s">
        <v>843</v>
      </c>
      <c r="C224" s="1745">
        <v>0.3</v>
      </c>
      <c r="AF224" s="2340"/>
    </row>
    <row r="225" spans="1:32" ht="15.75" thickBot="1" x14ac:dyDescent="0.3">
      <c r="AF225" s="2340"/>
    </row>
    <row r="226" spans="1:32" ht="15.75" thickBot="1" x14ac:dyDescent="0.3">
      <c r="A226" s="818"/>
      <c r="B226" s="883" t="s">
        <v>576</v>
      </c>
      <c r="C226" s="64" t="str">
        <f>BGPartnerAP</f>
        <v>AP</v>
      </c>
      <c r="D226" s="22" t="str">
        <f>BGPartnerAG</f>
        <v>AG</v>
      </c>
      <c r="E226" s="22" t="s">
        <v>4</v>
      </c>
      <c r="AF226" s="2340"/>
    </row>
    <row r="227" spans="1:32" ht="15.75" thickBot="1" x14ac:dyDescent="0.3">
      <c r="A227" s="449">
        <v>137</v>
      </c>
      <c r="B227" s="682" t="s">
        <v>575</v>
      </c>
      <c r="C227" s="686">
        <v>0.6</v>
      </c>
      <c r="D227" s="686">
        <v>0.6</v>
      </c>
      <c r="E227" s="683">
        <v>0.7</v>
      </c>
      <c r="AF227" s="2340"/>
    </row>
    <row r="228" spans="1:32" ht="15.75" thickBot="1" x14ac:dyDescent="0.3">
      <c r="AF228" s="2340"/>
    </row>
    <row r="229" spans="1:32" ht="16.5" thickBot="1" x14ac:dyDescent="0.3">
      <c r="B229" s="801" t="s">
        <v>211</v>
      </c>
      <c r="C229" s="1163" t="str">
        <f>BGPartnerAP</f>
        <v>AP</v>
      </c>
      <c r="D229" s="49" t="str">
        <f>BGPartnerAG</f>
        <v>AG</v>
      </c>
      <c r="AF229" s="2340"/>
    </row>
    <row r="230" spans="1:32" ht="15.75" thickBot="1" x14ac:dyDescent="0.3">
      <c r="A230" s="2"/>
      <c r="B230" s="810" t="s">
        <v>1067</v>
      </c>
      <c r="C230" s="814">
        <f ca="1">ROUND(IF(AL121NBI_KA_AP+(AL81Periodieken_KA_AP/12)&lt;0,0,AL121NBI_KA_AP+(AL81Periodieken_KA_AP/12)),1)</f>
        <v>0</v>
      </c>
      <c r="D230" s="812">
        <f ca="1">ROUND(IF(AL121NBI_KA_AG+(AL81Periodieken_KA_AG/12)&lt;0,0,AL121NBI_KA_AG+(AL81Periodieken_KA_AG/12)),1)</f>
        <v>0</v>
      </c>
      <c r="AF230" s="2340"/>
    </row>
    <row r="231" spans="1:32" ht="15.75" thickBot="1" x14ac:dyDescent="0.3">
      <c r="A231" s="449">
        <v>121</v>
      </c>
      <c r="B231" s="811" t="s">
        <v>600</v>
      </c>
      <c r="C231" s="235">
        <f ca="1">ROUND(IF(AL121NBI_AP+(AL81Periodieken_AP/12)&lt;0,0,AL121NBI_AP+(AL81Periodieken_AP/12)),1)</f>
        <v>0</v>
      </c>
      <c r="D231" s="813">
        <f ca="1">ROUND(IF(AL121NBI_AG+(AL81Periodieken_AG/12)&lt;0,0,AL121NBI_AG+(AL81Periodieken_AG/12)),1)</f>
        <v>0</v>
      </c>
      <c r="AF231" s="2340"/>
    </row>
    <row r="232" spans="1:32" ht="15.75" thickBot="1" x14ac:dyDescent="0.3">
      <c r="A232" s="44" t="s">
        <v>249</v>
      </c>
      <c r="B232" s="336" t="s">
        <v>105</v>
      </c>
      <c r="C232" s="809" t="str">
        <f>BGPartnerAP</f>
        <v>AP</v>
      </c>
      <c r="D232" s="693" t="str">
        <f>BGPartnerAG</f>
        <v>AG</v>
      </c>
      <c r="E232" s="355" t="s">
        <v>1068</v>
      </c>
      <c r="F232" s="2720" t="s">
        <v>349</v>
      </c>
      <c r="G232" s="2721"/>
      <c r="H232" s="2721"/>
      <c r="I232" s="2721"/>
      <c r="J232" s="2722"/>
      <c r="AF232" s="2340"/>
    </row>
    <row r="233" spans="1:32" x14ac:dyDescent="0.25">
      <c r="A233" s="28">
        <v>122</v>
      </c>
      <c r="B233" s="112" t="s">
        <v>348</v>
      </c>
      <c r="C233" s="669">
        <f ca="1">IF(BGAOWLeeftijdBereikt_AP="Nee",C254,C264)</f>
        <v>0</v>
      </c>
      <c r="D233" s="669">
        <f ca="1">IF(BGAOWLeeftijdBereikt_AG="Nee",D254,D264)</f>
        <v>0</v>
      </c>
      <c r="E233" s="362"/>
      <c r="F233" s="2839" t="s">
        <v>833</v>
      </c>
      <c r="G233" s="2840"/>
      <c r="H233" s="2840"/>
      <c r="I233" s="2840"/>
      <c r="J233" s="2841"/>
      <c r="AF233" s="2340"/>
    </row>
    <row r="234" spans="1:32" x14ac:dyDescent="0.25">
      <c r="A234" s="69">
        <v>122</v>
      </c>
      <c r="B234" s="154" t="s">
        <v>1117</v>
      </c>
      <c r="C234" s="667">
        <f ca="1">IF(BGAOWLeeftijdBereikt_AP="Nee",VLOOKUP(C$233,$C$247:$I$253,7,FALSE),VLOOKUP(C$233,$C$258:$I$263,7,FALSE))</f>
        <v>1125</v>
      </c>
      <c r="D234" s="667">
        <f ca="1">IF(BGAOWLeeftijdBereikt_AG="Nee",VLOOKUP(D$233,$D$247:$I$253,6,FALSE),VLOOKUP(D$233,$D$258:$I$263,6,FALSE))</f>
        <v>1125</v>
      </c>
      <c r="E234" s="1162"/>
      <c r="F234" s="2742" t="s">
        <v>433</v>
      </c>
      <c r="G234" s="2743"/>
      <c r="H234" s="2743"/>
      <c r="I234" s="2743"/>
      <c r="J234" s="2744"/>
      <c r="AF234" s="2340"/>
    </row>
    <row r="235" spans="1:32" ht="17.25" x14ac:dyDescent="0.25">
      <c r="A235" s="69">
        <v>123</v>
      </c>
      <c r="B235" s="360" t="s">
        <v>416</v>
      </c>
      <c r="C235" s="667">
        <f>IF(OR(AND(BGOEWRekenModule="Nee",E172&gt;0),AND(BGOEWRekenModule="Ja",BGOEWForfaitaireLasten=BGPartnerAP)),$E$235,IF(AND(BGOEWRekenModule="Ja",BGOEWForfaitaireLasten=Keuzelijsten!$R$4),$E$235/2,0))</f>
        <v>0</v>
      </c>
      <c r="D235" s="667">
        <f>IF(OR(AND(BGOEWRekenModule="Nee",E185&gt;0),AND(BGOEWRekenModule="Ja",BGOEWForfaitaireLasten=BGPartnerAG)),$E$235,IF(AND(BGOEWRekenModule="Ja",BGOEWForfaitaireLasten=Keuzelijsten!$R$4),$E$235/2,0))</f>
        <v>0</v>
      </c>
      <c r="E235" s="2535">
        <v>95</v>
      </c>
      <c r="F235" s="2836" t="s">
        <v>1069</v>
      </c>
      <c r="G235" s="2837"/>
      <c r="H235" s="2837"/>
      <c r="I235" s="2837"/>
      <c r="J235" s="2838"/>
      <c r="AF235" s="2340"/>
    </row>
    <row r="236" spans="1:32" ht="14.45" customHeight="1" thickBot="1" x14ac:dyDescent="0.3">
      <c r="A236" s="359">
        <v>123</v>
      </c>
      <c r="B236" s="1152" t="s">
        <v>288</v>
      </c>
      <c r="C236" s="799">
        <f>E236</f>
        <v>223</v>
      </c>
      <c r="D236" s="799">
        <f>E236</f>
        <v>223</v>
      </c>
      <c r="E236" s="1069">
        <v>223</v>
      </c>
      <c r="F236" s="2947" t="s">
        <v>1070</v>
      </c>
      <c r="G236" s="2948"/>
      <c r="H236" s="2948"/>
      <c r="I236" s="2948"/>
      <c r="J236" s="2949"/>
      <c r="AF236" s="2340"/>
    </row>
    <row r="237" spans="1:32" ht="14.45" customHeight="1" x14ac:dyDescent="0.25">
      <c r="E237" s="26"/>
      <c r="AF237" s="2340"/>
    </row>
    <row r="238" spans="1:32" ht="14.45" customHeight="1" thickBot="1" x14ac:dyDescent="0.3">
      <c r="B238" s="801" t="s">
        <v>1027</v>
      </c>
      <c r="E238" s="26"/>
      <c r="M238" s="2"/>
      <c r="N238" s="2"/>
      <c r="O238" s="2"/>
      <c r="P238" s="2"/>
      <c r="Q238" s="2"/>
      <c r="R238" s="2"/>
      <c r="AF238" s="2340"/>
    </row>
    <row r="239" spans="1:32" ht="15.75" thickBot="1" x14ac:dyDescent="0.3">
      <c r="A239" s="44" t="s">
        <v>249</v>
      </c>
      <c r="B239" s="153" t="s">
        <v>105</v>
      </c>
      <c r="C239" s="1163" t="str">
        <f>BGPartnerAP</f>
        <v>AP</v>
      </c>
      <c r="D239" s="60" t="str">
        <f>BGPartnerAG</f>
        <v>AG</v>
      </c>
      <c r="E239" s="1070" t="s">
        <v>1068</v>
      </c>
      <c r="F239" s="2720" t="s">
        <v>349</v>
      </c>
      <c r="G239" s="2721"/>
      <c r="H239" s="2721"/>
      <c r="I239" s="2721"/>
      <c r="J239" s="2722"/>
      <c r="M239" s="2"/>
      <c r="N239" s="2"/>
      <c r="O239" s="2"/>
      <c r="P239" s="2"/>
      <c r="Q239" s="2"/>
      <c r="R239" s="2"/>
      <c r="AF239" s="2340"/>
    </row>
    <row r="240" spans="1:32" x14ac:dyDescent="0.25">
      <c r="A240" s="67">
        <v>123</v>
      </c>
      <c r="B240" s="884" t="s">
        <v>1026</v>
      </c>
      <c r="C240" s="81">
        <v>0</v>
      </c>
      <c r="D240" s="81">
        <v>0</v>
      </c>
      <c r="E240" s="1071">
        <v>0</v>
      </c>
      <c r="F240" s="2839" t="s">
        <v>423</v>
      </c>
      <c r="G240" s="2840"/>
      <c r="H240" s="2840"/>
      <c r="I240" s="2840"/>
      <c r="J240" s="2841"/>
      <c r="AC240" s="18"/>
      <c r="AF240" s="2340"/>
    </row>
    <row r="241" spans="1:32" ht="15" customHeight="1" x14ac:dyDescent="0.25">
      <c r="A241" s="29">
        <v>123</v>
      </c>
      <c r="B241" s="885" t="s">
        <v>1029</v>
      </c>
      <c r="C241" s="667">
        <f>E241</f>
        <v>808.06</v>
      </c>
      <c r="D241" s="667">
        <f>E241</f>
        <v>808.06</v>
      </c>
      <c r="E241" s="720">
        <v>808.06</v>
      </c>
      <c r="F241" s="2836" t="s">
        <v>678</v>
      </c>
      <c r="G241" s="2837"/>
      <c r="H241" s="2837"/>
      <c r="I241" s="2837"/>
      <c r="J241" s="2838"/>
      <c r="AF241" s="2340"/>
    </row>
    <row r="242" spans="1:32" ht="15.75" thickBot="1" x14ac:dyDescent="0.3">
      <c r="A242" s="31">
        <v>123</v>
      </c>
      <c r="B242" s="886" t="s">
        <v>1030</v>
      </c>
      <c r="C242" s="82">
        <v>0</v>
      </c>
      <c r="D242" s="82">
        <v>0</v>
      </c>
      <c r="E242" s="1057">
        <v>0</v>
      </c>
      <c r="F242" s="1058" t="s">
        <v>451</v>
      </c>
      <c r="G242" s="2833" t="s">
        <v>452</v>
      </c>
      <c r="H242" s="2834"/>
      <c r="I242" s="2834"/>
      <c r="J242" s="2835"/>
      <c r="AF242" s="2340"/>
    </row>
    <row r="243" spans="1:32" ht="16.5" thickBot="1" x14ac:dyDescent="0.3">
      <c r="B243" s="800" t="s">
        <v>594</v>
      </c>
      <c r="C243" s="1293">
        <f>AL94VerzInkomen_AP</f>
        <v>0</v>
      </c>
      <c r="D243" s="1293">
        <f>AL94VerzInkomen_AG</f>
        <v>0</v>
      </c>
      <c r="AF243" s="2340"/>
    </row>
    <row r="244" spans="1:32" x14ac:dyDescent="0.25">
      <c r="AF244" s="2340"/>
    </row>
    <row r="245" spans="1:32" ht="15.75" thickBot="1" x14ac:dyDescent="0.3">
      <c r="A245" s="18">
        <v>122</v>
      </c>
      <c r="B245" s="107" t="s">
        <v>412</v>
      </c>
      <c r="AF245" s="2340"/>
    </row>
    <row r="246" spans="1:32" ht="15.75" thickBot="1" x14ac:dyDescent="0.3">
      <c r="A246" s="9" t="s">
        <v>249</v>
      </c>
      <c r="B246" s="111" t="s">
        <v>415</v>
      </c>
      <c r="C246" s="64" t="str">
        <f>BGPartnerAP</f>
        <v>AP</v>
      </c>
      <c r="D246" s="22" t="str">
        <f>BGPartnerAG</f>
        <v>AG</v>
      </c>
      <c r="E246" s="75" t="s">
        <v>413</v>
      </c>
      <c r="F246" s="57" t="s">
        <v>586</v>
      </c>
      <c r="G246" s="118" t="s">
        <v>81</v>
      </c>
      <c r="H246" s="6" t="s">
        <v>256</v>
      </c>
      <c r="I246" s="6" t="s">
        <v>414</v>
      </c>
      <c r="J246" s="119" t="s">
        <v>0</v>
      </c>
      <c r="AF246" s="2340"/>
    </row>
    <row r="247" spans="1:32" ht="14.45" customHeight="1" x14ac:dyDescent="0.25">
      <c r="A247" s="332">
        <v>1</v>
      </c>
      <c r="B247" s="1153" t="str">
        <f>CONCATENATE("NBI van ",E247,": Minimum draagkracht")</f>
        <v>NBI van 0: Minimum draagkracht</v>
      </c>
      <c r="C247" s="333">
        <f ca="1">IF(AND(C$231&gt;=$E247,C$231&lt;$F247),IF(OR(C$231=C$211,C$307=0),0,IF(C$307=1,I247,IF(C$307&gt;1,$J247*2,"???"))),"n.v.t")</f>
        <v>0</v>
      </c>
      <c r="D247" s="333">
        <f ca="1">IF(AND(D$231&gt;=$E247,D$231&lt;$F247),IF(OR(D$231=E$211,D$307=0),0,IF(D$307=1,J247,IF(D$307&gt;1,$J247*2,"???"))),"n.v.t")</f>
        <v>0</v>
      </c>
      <c r="E247" s="666">
        <v>0</v>
      </c>
      <c r="F247" s="710">
        <v>1680</v>
      </c>
      <c r="G247" s="711"/>
      <c r="H247" s="712"/>
      <c r="I247" s="1072">
        <v>1125</v>
      </c>
      <c r="J247" s="710">
        <v>25</v>
      </c>
      <c r="AF247" s="2340"/>
    </row>
    <row r="248" spans="1:32" ht="14.45" customHeight="1" x14ac:dyDescent="0.25">
      <c r="A248" s="69">
        <v>2</v>
      </c>
      <c r="B248" s="1154" t="str">
        <f t="shared" ref="B248:B253" si="36">CONCATENATE("NBI van ",E248,": ",G248*100,"% van (NBI - (",H248," x NBI + ",I248,")")</f>
        <v>NBI van 1680: 100% van (NBI - (0,3 x NBI + 1125)</v>
      </c>
      <c r="C248" s="330" t="str">
        <f t="shared" ref="C248:D252" ca="1" si="37">IF(AND(C$231&gt;=$E248,C$231&lt;$F248),$J248,"n.v.t")</f>
        <v>n.v.t</v>
      </c>
      <c r="D248" s="330" t="str">
        <f t="shared" ca="1" si="37"/>
        <v>n.v.t</v>
      </c>
      <c r="E248" s="464">
        <f t="shared" ref="E248:E253" si="38">F247</f>
        <v>1680</v>
      </c>
      <c r="F248" s="1073">
        <v>1730</v>
      </c>
      <c r="G248" s="713">
        <v>1</v>
      </c>
      <c r="H248" s="714">
        <v>0.3</v>
      </c>
      <c r="I248" s="1072">
        <v>1125</v>
      </c>
      <c r="J248" s="1073">
        <v>51</v>
      </c>
      <c r="AF248" s="2340"/>
    </row>
    <row r="249" spans="1:32" x14ac:dyDescent="0.25">
      <c r="A249" s="69">
        <v>3</v>
      </c>
      <c r="B249" s="1154" t="str">
        <f t="shared" si="36"/>
        <v>NBI van 1730: 90% van (NBI - (0,3 x NBI + 1125)</v>
      </c>
      <c r="C249" s="330" t="str">
        <f t="shared" ca="1" si="37"/>
        <v>n.v.t</v>
      </c>
      <c r="D249" s="330" t="str">
        <f t="shared" ca="1" si="37"/>
        <v>n.v.t</v>
      </c>
      <c r="E249" s="464">
        <f t="shared" si="38"/>
        <v>1730</v>
      </c>
      <c r="F249" s="1073">
        <v>1780</v>
      </c>
      <c r="G249" s="713">
        <v>0.9</v>
      </c>
      <c r="H249" s="714">
        <v>0.3</v>
      </c>
      <c r="I249" s="1072">
        <v>1125</v>
      </c>
      <c r="J249" s="1073">
        <v>77</v>
      </c>
      <c r="AF249" s="2340"/>
    </row>
    <row r="250" spans="1:32" x14ac:dyDescent="0.25">
      <c r="A250" s="69">
        <v>4</v>
      </c>
      <c r="B250" s="1154" t="str">
        <f t="shared" si="36"/>
        <v>NBI van 1780: 80% van (NBI - (0,3 x NBI + 1125)</v>
      </c>
      <c r="C250" s="330" t="str">
        <f t="shared" ca="1" si="37"/>
        <v>n.v.t</v>
      </c>
      <c r="D250" s="330" t="str">
        <f t="shared" ca="1" si="37"/>
        <v>n.v.t</v>
      </c>
      <c r="E250" s="464">
        <f t="shared" si="38"/>
        <v>1780</v>
      </c>
      <c r="F250" s="1073">
        <v>1830</v>
      </c>
      <c r="G250" s="713">
        <v>0.8</v>
      </c>
      <c r="H250" s="714">
        <v>0.3</v>
      </c>
      <c r="I250" s="1072">
        <v>1125</v>
      </c>
      <c r="J250" s="1073">
        <v>97</v>
      </c>
      <c r="AF250" s="2340"/>
    </row>
    <row r="251" spans="1:32" x14ac:dyDescent="0.25">
      <c r="A251" s="69">
        <v>5</v>
      </c>
      <c r="B251" s="1154" t="str">
        <f t="shared" si="36"/>
        <v>NBI van 1830: 70% van (NBI - (0,3 x NBI + 1125)</v>
      </c>
      <c r="C251" s="330" t="str">
        <f t="shared" ca="1" si="37"/>
        <v>n.v.t</v>
      </c>
      <c r="D251" s="330" t="str">
        <f t="shared" ca="1" si="37"/>
        <v>n.v.t</v>
      </c>
      <c r="E251" s="464">
        <f t="shared" si="38"/>
        <v>1830</v>
      </c>
      <c r="F251" s="1073">
        <v>1880</v>
      </c>
      <c r="G251" s="713">
        <v>0.7</v>
      </c>
      <c r="H251" s="714">
        <v>0.3</v>
      </c>
      <c r="I251" s="1072">
        <v>1125</v>
      </c>
      <c r="J251" s="1073">
        <v>109</v>
      </c>
      <c r="AF251" s="2340"/>
    </row>
    <row r="252" spans="1:32" x14ac:dyDescent="0.25">
      <c r="A252" s="69">
        <v>6</v>
      </c>
      <c r="B252" s="1154" t="str">
        <f t="shared" si="36"/>
        <v>NBI van 1880: 70% van (NBI - (0,3 x NBI + 1125)</v>
      </c>
      <c r="C252" s="330" t="str">
        <f t="shared" ca="1" si="37"/>
        <v>n.v.t</v>
      </c>
      <c r="D252" s="330" t="str">
        <f t="shared" ca="1" si="37"/>
        <v>n.v.t</v>
      </c>
      <c r="E252" s="464">
        <f t="shared" si="38"/>
        <v>1880</v>
      </c>
      <c r="F252" s="1073">
        <v>1930</v>
      </c>
      <c r="G252" s="713">
        <v>0.7</v>
      </c>
      <c r="H252" s="714">
        <v>0.3</v>
      </c>
      <c r="I252" s="1072">
        <v>1125</v>
      </c>
      <c r="J252" s="1073">
        <v>116</v>
      </c>
      <c r="AF252" s="2340"/>
    </row>
    <row r="253" spans="1:32" ht="14.45" customHeight="1" thickBot="1" x14ac:dyDescent="0.3">
      <c r="A253" s="30">
        <v>7</v>
      </c>
      <c r="B253" s="1155" t="str">
        <f t="shared" si="36"/>
        <v>NBI van 1930: 70% van (NBI - (0,3 x NBI + 1175)</v>
      </c>
      <c r="C253" s="331">
        <v>0</v>
      </c>
      <c r="D253" s="331">
        <v>0</v>
      </c>
      <c r="E253" s="465">
        <f t="shared" si="38"/>
        <v>1930</v>
      </c>
      <c r="F253" s="1075">
        <v>0</v>
      </c>
      <c r="G253" s="715">
        <v>0.7</v>
      </c>
      <c r="H253" s="716">
        <v>0.3</v>
      </c>
      <c r="I253" s="1076">
        <v>1175</v>
      </c>
      <c r="J253" s="1075">
        <v>123</v>
      </c>
      <c r="AF253" s="2340"/>
    </row>
    <row r="254" spans="1:32" ht="15.75" thickBot="1" x14ac:dyDescent="0.3">
      <c r="A254" s="173">
        <v>122</v>
      </c>
      <c r="B254" s="1142" t="s">
        <v>417</v>
      </c>
      <c r="C254" s="58">
        <f ca="1">IF(BGAOWLeeftijdBereikt_AP="Ja","Zie AOW-tabel",SUM(C247:C253))</f>
        <v>0</v>
      </c>
      <c r="D254" s="58">
        <f ca="1">IF(BGAOWLeeftijdBereikt_AG="Ja","Zie AOW-tabel",SUM(D247:D253))</f>
        <v>0</v>
      </c>
      <c r="F254" s="26"/>
      <c r="G254" s="26"/>
      <c r="H254" s="26"/>
      <c r="I254" s="26"/>
      <c r="J254" s="26"/>
      <c r="AF254" s="2340"/>
    </row>
    <row r="255" spans="1:32" ht="16.899999999999999" customHeight="1" x14ac:dyDescent="0.25">
      <c r="F255" s="26"/>
      <c r="G255" s="26"/>
      <c r="H255" s="26"/>
      <c r="I255" s="26"/>
      <c r="J255" s="26"/>
      <c r="AF255" s="2340"/>
    </row>
    <row r="256" spans="1:32" ht="15.75" thickBot="1" x14ac:dyDescent="0.3">
      <c r="A256" s="18">
        <v>122</v>
      </c>
      <c r="B256" s="1141" t="s">
        <v>418</v>
      </c>
      <c r="F256" s="26"/>
      <c r="G256" s="26"/>
      <c r="H256" s="26"/>
      <c r="I256" s="26"/>
      <c r="J256" s="26"/>
      <c r="AF256" s="2340"/>
    </row>
    <row r="257" spans="1:32" ht="15.75" thickBot="1" x14ac:dyDescent="0.3">
      <c r="A257" s="9" t="s">
        <v>249</v>
      </c>
      <c r="B257" s="111" t="s">
        <v>415</v>
      </c>
      <c r="C257" s="64" t="str">
        <f>BGPartnerAP</f>
        <v>AP</v>
      </c>
      <c r="D257" s="22" t="str">
        <f>BGPartnerAG</f>
        <v>AG</v>
      </c>
      <c r="E257" s="75" t="s">
        <v>413</v>
      </c>
      <c r="F257" s="1077" t="s">
        <v>586</v>
      </c>
      <c r="G257" s="730" t="s">
        <v>81</v>
      </c>
      <c r="H257" s="731" t="s">
        <v>256</v>
      </c>
      <c r="I257" s="731" t="s">
        <v>414</v>
      </c>
      <c r="J257" s="1078" t="s">
        <v>0</v>
      </c>
      <c r="AF257" s="2340"/>
    </row>
    <row r="258" spans="1:32" x14ac:dyDescent="0.25">
      <c r="A258" s="332">
        <v>1</v>
      </c>
      <c r="B258" s="1153" t="str">
        <f>CONCATENATE("NBI van ",E258,": Minimum draagkracht")</f>
        <v>NBI van 0: Minimum draagkracht</v>
      </c>
      <c r="C258" s="333">
        <f ca="1">IF(AND(C$231&gt;=$E258,C$231&lt;$F258),IF(OR(C$231=C$211,C$307=0),0,IF(C$307=1,I258,IF(C$307&gt;1,$J258*2,"???"))),"n.v.t")</f>
        <v>0</v>
      </c>
      <c r="D258" s="333">
        <f ca="1">IF(AND(D$231&gt;=$E258,D$231&lt;$F258),IF(OR(D$231=E$211,D$307=0),0,IF(D$307=1,J258,IF(D$307&gt;1,$J258*2,"???"))),"n.v.t")</f>
        <v>0</v>
      </c>
      <c r="E258" s="665">
        <v>0</v>
      </c>
      <c r="F258" s="717">
        <v>1890</v>
      </c>
      <c r="G258" s="711"/>
      <c r="H258" s="712"/>
      <c r="I258" s="1072">
        <v>1265</v>
      </c>
      <c r="J258" s="717">
        <v>25</v>
      </c>
      <c r="AF258" s="2340"/>
    </row>
    <row r="259" spans="1:32" x14ac:dyDescent="0.25">
      <c r="A259" s="69">
        <v>2</v>
      </c>
      <c r="B259" s="1154" t="str">
        <f>CONCATENATE("NBI van ",E259,": ",G259*100,"% van (NBI - (",H259," x NBI + ",I259,")")</f>
        <v>NBI van 1890: 90% van (NBI - (0,3 x NBI + 1265)</v>
      </c>
      <c r="C259" s="330" t="str">
        <f t="shared" ref="C259:D262" ca="1" si="39">IF(AND(C$231&gt;=$E259,C$231&lt;$F259),$J259,"n.v.t")</f>
        <v>n.v.t</v>
      </c>
      <c r="D259" s="330" t="str">
        <f t="shared" ca="1" si="39"/>
        <v>n.v.t</v>
      </c>
      <c r="E259" s="462">
        <f>F258</f>
        <v>1890</v>
      </c>
      <c r="F259" s="1079">
        <v>1940</v>
      </c>
      <c r="G259" s="713">
        <v>0.9</v>
      </c>
      <c r="H259" s="714">
        <v>0.3</v>
      </c>
      <c r="I259" s="1072">
        <v>1265</v>
      </c>
      <c r="J259" s="1079">
        <v>52</v>
      </c>
      <c r="M259" s="2"/>
      <c r="N259" s="2"/>
      <c r="O259" s="2"/>
      <c r="P259" s="2"/>
      <c r="Q259" s="2"/>
      <c r="R259" s="2"/>
      <c r="AF259" s="2340"/>
    </row>
    <row r="260" spans="1:32" x14ac:dyDescent="0.25">
      <c r="A260" s="69">
        <v>3</v>
      </c>
      <c r="B260" s="1154" t="str">
        <f>CONCATENATE("NBI van ",E260,": ",G260*100,"% van (NBI - (",H260," x NBI + ",I260,")")</f>
        <v>NBI van 1940: 80% van (NBI - (0,3 x NBI + 1265)</v>
      </c>
      <c r="C260" s="330" t="str">
        <f t="shared" ca="1" si="39"/>
        <v>n.v.t</v>
      </c>
      <c r="D260" s="330" t="str">
        <f t="shared" ca="1" si="39"/>
        <v>n.v.t</v>
      </c>
      <c r="E260" s="462">
        <f>F259</f>
        <v>1940</v>
      </c>
      <c r="F260" s="1079">
        <v>1990</v>
      </c>
      <c r="G260" s="713">
        <v>0.8</v>
      </c>
      <c r="H260" s="714">
        <v>0.3</v>
      </c>
      <c r="I260" s="1072">
        <v>1265</v>
      </c>
      <c r="J260" s="1079">
        <v>74</v>
      </c>
      <c r="M260" s="2"/>
      <c r="N260" s="2"/>
      <c r="O260" s="2"/>
      <c r="P260" s="2"/>
      <c r="Q260" s="2"/>
      <c r="R260" s="2"/>
      <c r="AF260" s="2340"/>
    </row>
    <row r="261" spans="1:32" x14ac:dyDescent="0.25">
      <c r="A261" s="69">
        <v>4</v>
      </c>
      <c r="B261" s="1154" t="str">
        <f>CONCATENATE("NBI van ",E261,": ",G261*100,"% van (NBI - (",H261," x NBI + ",I261,")")</f>
        <v>NBI van 1990: 70% van (NBI - (0,3 x NBI + 1265)</v>
      </c>
      <c r="C261" s="330" t="str">
        <f t="shared" ca="1" si="39"/>
        <v>n.v.t</v>
      </c>
      <c r="D261" s="330" t="str">
        <f t="shared" ca="1" si="39"/>
        <v>n.v.t</v>
      </c>
      <c r="E261" s="462">
        <f>F260</f>
        <v>1990</v>
      </c>
      <c r="F261" s="1079">
        <v>2040</v>
      </c>
      <c r="G261" s="713">
        <v>0.7</v>
      </c>
      <c r="H261" s="714">
        <v>0.3</v>
      </c>
      <c r="I261" s="1074">
        <v>1265</v>
      </c>
      <c r="J261" s="1079">
        <v>90</v>
      </c>
      <c r="M261" s="2"/>
      <c r="N261" s="2"/>
      <c r="O261" s="2"/>
      <c r="P261" s="2"/>
      <c r="Q261" s="2"/>
      <c r="R261" s="2"/>
      <c r="AF261" s="2340"/>
    </row>
    <row r="262" spans="1:32" ht="15" customHeight="1" x14ac:dyDescent="0.25">
      <c r="A262" s="69">
        <v>5</v>
      </c>
      <c r="B262" s="1154" t="str">
        <f>CONCATENATE("NBI van ",E262,": ",G262*100,"% van (NBI - (",H262," x NBI + ",I262,")")</f>
        <v>NBI van 2040: 70% van (NBI - (0,3 x NBI + 1290)</v>
      </c>
      <c r="C262" s="330" t="str">
        <f t="shared" ca="1" si="39"/>
        <v>n.v.t</v>
      </c>
      <c r="D262" s="330" t="str">
        <f t="shared" ca="1" si="39"/>
        <v>n.v.t</v>
      </c>
      <c r="E262" s="462">
        <f>F261</f>
        <v>2040</v>
      </c>
      <c r="F262" s="1079">
        <v>2090</v>
      </c>
      <c r="G262" s="713">
        <v>0.7</v>
      </c>
      <c r="H262" s="714">
        <v>0.3</v>
      </c>
      <c r="I262" s="1074">
        <v>1290</v>
      </c>
      <c r="J262" s="1079">
        <v>97</v>
      </c>
      <c r="M262" s="2"/>
      <c r="N262" s="2"/>
      <c r="O262" s="2"/>
      <c r="P262" s="2"/>
      <c r="Q262" s="2"/>
      <c r="R262" s="2"/>
      <c r="AF262" s="2340"/>
    </row>
    <row r="263" spans="1:32" ht="15.75" thickBot="1" x14ac:dyDescent="0.3">
      <c r="A263" s="30">
        <v>7</v>
      </c>
      <c r="B263" s="1155" t="str">
        <f>CONCATENATE("NBI van ",E263,": ",G263*100,"% van (NBI - (",H263," x NBI + ",I263,")")</f>
        <v>NBI van 2090: 70% van (NBI - (0,3 x NBI + 1315)</v>
      </c>
      <c r="C263" s="331">
        <v>0</v>
      </c>
      <c r="D263" s="331">
        <v>0</v>
      </c>
      <c r="E263" s="463">
        <f>F262</f>
        <v>2090</v>
      </c>
      <c r="F263" s="718"/>
      <c r="G263" s="715">
        <v>0.7</v>
      </c>
      <c r="H263" s="716">
        <v>0.3</v>
      </c>
      <c r="I263" s="1076">
        <v>1315</v>
      </c>
      <c r="J263" s="718">
        <v>104</v>
      </c>
      <c r="M263" s="2"/>
      <c r="N263" s="2"/>
      <c r="O263" s="2"/>
      <c r="P263" s="2"/>
      <c r="Q263" s="2"/>
      <c r="R263" s="2"/>
      <c r="AF263" s="2340"/>
    </row>
    <row r="264" spans="1:32" ht="15.75" thickBot="1" x14ac:dyDescent="0.3">
      <c r="A264" s="173">
        <v>122</v>
      </c>
      <c r="B264" s="1142" t="s">
        <v>417</v>
      </c>
      <c r="C264" s="58" t="str">
        <f>IF(BGAOWLeeftijdBereikt_AP="Nee","Zie Werk-tabel",SUM(C257:C263))</f>
        <v>Zie Werk-tabel</v>
      </c>
      <c r="D264" s="58" t="str">
        <f>IF(BGAOWLeeftijdBereikt_AG="Nee","Zie Werk-tabel",SUM(D257:D263))</f>
        <v>Zie Werk-tabel</v>
      </c>
      <c r="M264" s="2"/>
      <c r="N264" s="2"/>
      <c r="O264" s="2"/>
      <c r="P264" s="2"/>
      <c r="Q264" s="2"/>
      <c r="R264" s="2"/>
      <c r="AF264" s="2340"/>
    </row>
    <row r="265" spans="1:32" x14ac:dyDescent="0.25">
      <c r="M265" s="2"/>
      <c r="N265" s="2"/>
      <c r="O265" s="2"/>
      <c r="P265" s="2"/>
      <c r="Q265" s="2"/>
      <c r="R265" s="2"/>
      <c r="AF265" s="2340"/>
    </row>
    <row r="266" spans="1:32" ht="15.75" thickBot="1" x14ac:dyDescent="0.3">
      <c r="B266" s="438" t="s">
        <v>1119</v>
      </c>
      <c r="C266" s="2"/>
      <c r="D266" s="2"/>
      <c r="M266" s="2"/>
      <c r="N266" s="2"/>
      <c r="O266" s="2"/>
      <c r="P266" s="2"/>
      <c r="Q266" s="2"/>
      <c r="R266" s="2"/>
      <c r="AF266" s="2340"/>
    </row>
    <row r="267" spans="1:32" ht="15.75" thickBot="1" x14ac:dyDescent="0.3">
      <c r="A267" s="9" t="s">
        <v>249</v>
      </c>
      <c r="B267" s="108" t="s">
        <v>105</v>
      </c>
      <c r="C267" s="22" t="str">
        <f>BGPartnerAP</f>
        <v>AP</v>
      </c>
      <c r="D267" s="71" t="str">
        <f>BGPartnerAG</f>
        <v>AG</v>
      </c>
      <c r="E267" s="2720" t="s">
        <v>215</v>
      </c>
      <c r="F267" s="2721"/>
      <c r="G267" s="2721"/>
      <c r="H267" s="2721"/>
      <c r="I267" s="2721"/>
      <c r="J267" s="2722"/>
      <c r="M267" s="2"/>
      <c r="N267" s="2"/>
      <c r="O267" s="2"/>
      <c r="P267" s="2"/>
      <c r="Q267" s="2"/>
      <c r="R267" s="2"/>
      <c r="AF267" s="2340"/>
    </row>
    <row r="268" spans="1:32" x14ac:dyDescent="0.25">
      <c r="A268" s="28" t="s">
        <v>314</v>
      </c>
      <c r="B268" s="46" t="s">
        <v>1038</v>
      </c>
      <c r="C268" s="2525">
        <v>0</v>
      </c>
      <c r="D268" s="2526">
        <v>0</v>
      </c>
      <c r="E268" s="2739" t="s">
        <v>1071</v>
      </c>
      <c r="F268" s="2740"/>
      <c r="G268" s="2740"/>
      <c r="H268" s="2740"/>
      <c r="I268" s="2740"/>
      <c r="J268" s="2741"/>
      <c r="M268" s="2"/>
      <c r="N268" s="2"/>
      <c r="O268" s="2"/>
      <c r="P268" s="2"/>
      <c r="Q268" s="2"/>
      <c r="R268" s="2"/>
      <c r="AF268" s="2340"/>
    </row>
    <row r="269" spans="1:32" ht="15.75" thickBot="1" x14ac:dyDescent="0.3">
      <c r="A269" s="174" t="s">
        <v>315</v>
      </c>
      <c r="B269" s="2329" t="s">
        <v>1039</v>
      </c>
      <c r="C269" s="2527">
        <v>0</v>
      </c>
      <c r="D269" s="2528">
        <v>0</v>
      </c>
      <c r="E269" s="2830" t="s">
        <v>1072</v>
      </c>
      <c r="F269" s="2831"/>
      <c r="G269" s="2831"/>
      <c r="H269" s="2831"/>
      <c r="I269" s="2831"/>
      <c r="J269" s="2832"/>
      <c r="M269" s="2"/>
      <c r="N269" s="2"/>
      <c r="O269" s="2"/>
      <c r="P269" s="2"/>
      <c r="Q269" s="2"/>
      <c r="R269" s="2"/>
      <c r="AF269" s="2340"/>
    </row>
    <row r="270" spans="1:32" x14ac:dyDescent="0.25">
      <c r="A270" s="28" t="s">
        <v>316</v>
      </c>
      <c r="B270" s="803" t="str">
        <f>"Wettelijk eigen risico in "&amp;BGJaarBerekening&amp;" per jaar"</f>
        <v>Wettelijk eigen risico in 2023 per jaar</v>
      </c>
      <c r="C270" s="2331">
        <v>385</v>
      </c>
      <c r="D270" s="1071">
        <v>385</v>
      </c>
      <c r="E270" s="2868" t="s">
        <v>151</v>
      </c>
      <c r="F270" s="2869"/>
      <c r="G270" s="2869"/>
      <c r="H270" s="2869"/>
      <c r="I270" s="2869"/>
      <c r="J270" s="2870"/>
      <c r="M270" s="2"/>
      <c r="N270" s="2"/>
      <c r="O270" s="2"/>
      <c r="P270" s="2"/>
      <c r="Q270" s="2"/>
      <c r="R270" s="2"/>
      <c r="AF270" s="2340"/>
    </row>
    <row r="271" spans="1:32" ht="15.75" thickBot="1" x14ac:dyDescent="0.3">
      <c r="A271" s="30" t="s">
        <v>316</v>
      </c>
      <c r="B271" s="2332" t="str">
        <f>"Wordt in "&amp;BGJaarBerekening&amp;" het wettelijk Eigen Risico volledig betaald?"</f>
        <v>Wordt in 2023 het wettelijk Eigen Risico volledig betaald?</v>
      </c>
      <c r="C271" s="2529" t="s">
        <v>110</v>
      </c>
      <c r="D271" s="2530" t="s">
        <v>110</v>
      </c>
      <c r="E271" s="2804" t="s">
        <v>436</v>
      </c>
      <c r="F271" s="2805"/>
      <c r="G271" s="2805"/>
      <c r="H271" s="2805"/>
      <c r="I271" s="2805"/>
      <c r="J271" s="2806"/>
      <c r="M271" s="2"/>
      <c r="N271" s="2"/>
      <c r="O271" s="2"/>
      <c r="P271" s="2"/>
      <c r="Q271" s="2"/>
      <c r="R271" s="2"/>
      <c r="AF271" s="2340"/>
    </row>
    <row r="272" spans="1:32" x14ac:dyDescent="0.25">
      <c r="A272" s="70" t="s">
        <v>759</v>
      </c>
      <c r="B272" s="2330" t="s">
        <v>1037</v>
      </c>
      <c r="C272" s="2531">
        <v>0</v>
      </c>
      <c r="D272" s="2532">
        <v>0</v>
      </c>
      <c r="E272" s="2878" t="s">
        <v>1028</v>
      </c>
      <c r="F272" s="2879"/>
      <c r="G272" s="2879"/>
      <c r="H272" s="2879"/>
      <c r="I272" s="2879"/>
      <c r="J272" s="2880"/>
      <c r="M272" s="2"/>
      <c r="N272" s="2"/>
      <c r="O272" s="2"/>
      <c r="P272" s="2"/>
      <c r="Q272" s="2"/>
      <c r="R272" s="2"/>
      <c r="AF272" s="2340"/>
    </row>
    <row r="273" spans="1:32" x14ac:dyDescent="0.25">
      <c r="A273" s="69" t="s">
        <v>760</v>
      </c>
      <c r="B273" s="47" t="s">
        <v>1036</v>
      </c>
      <c r="C273" s="2533">
        <v>0</v>
      </c>
      <c r="D273" s="2534">
        <v>0</v>
      </c>
      <c r="E273" s="2926" t="s">
        <v>1035</v>
      </c>
      <c r="F273" s="2927"/>
      <c r="G273" s="2927"/>
      <c r="H273" s="2927"/>
      <c r="I273" s="2927"/>
      <c r="J273" s="2928"/>
      <c r="L273" s="18"/>
      <c r="M273" s="53"/>
      <c r="N273" s="2"/>
      <c r="O273" s="2"/>
      <c r="P273" s="2"/>
      <c r="Q273" s="2"/>
      <c r="R273" s="2"/>
      <c r="AF273" s="2340"/>
    </row>
    <row r="274" spans="1:32" ht="15" customHeight="1" x14ac:dyDescent="0.25">
      <c r="A274" s="69">
        <v>124</v>
      </c>
      <c r="B274" s="1154" t="s">
        <v>1042</v>
      </c>
      <c r="C274" s="719">
        <v>3</v>
      </c>
      <c r="D274" s="720">
        <v>3</v>
      </c>
      <c r="E274" s="2742" t="s">
        <v>437</v>
      </c>
      <c r="F274" s="2743"/>
      <c r="G274" s="2743"/>
      <c r="H274" s="2743"/>
      <c r="I274" s="2743"/>
      <c r="J274" s="2744"/>
      <c r="L274" s="18"/>
      <c r="M274" s="53"/>
      <c r="N274" s="2"/>
      <c r="O274" s="2"/>
      <c r="P274" s="2"/>
      <c r="Q274" s="2"/>
      <c r="R274" s="2"/>
      <c r="AF274" s="2340"/>
    </row>
    <row r="275" spans="1:32" ht="15" customHeight="1" thickBot="1" x14ac:dyDescent="0.3">
      <c r="A275" s="30"/>
      <c r="B275" s="798" t="str">
        <f>"Te ontvangen zorgtoeslag in "&amp;BGJaarBerekening&amp;"/maand"</f>
        <v>Te ontvangen zorgtoeslag in 2023/maand</v>
      </c>
      <c r="C275" s="2536">
        <v>0</v>
      </c>
      <c r="D275" s="2537">
        <v>0</v>
      </c>
      <c r="E275" s="437" t="s">
        <v>1120</v>
      </c>
      <c r="F275" s="2924" t="s">
        <v>450</v>
      </c>
      <c r="G275" s="2924"/>
      <c r="H275" s="2924"/>
      <c r="I275" s="2924"/>
      <c r="J275" s="2925"/>
      <c r="M275" s="2"/>
      <c r="N275" s="2"/>
      <c r="O275" s="2"/>
      <c r="P275" s="2"/>
      <c r="Q275" s="2"/>
      <c r="R275" s="2"/>
      <c r="AF275" s="2340"/>
    </row>
    <row r="276" spans="1:32" ht="16.5" thickBot="1" x14ac:dyDescent="0.3">
      <c r="B276" s="800" t="s">
        <v>595</v>
      </c>
      <c r="C276" s="1303">
        <f>AL94VerzInkomen_AP</f>
        <v>0</v>
      </c>
      <c r="D276" s="1303">
        <f>AL94VerzInkomen_AG</f>
        <v>0</v>
      </c>
      <c r="AF276" s="2340"/>
    </row>
    <row r="277" spans="1:32" ht="15.75" thickBot="1" x14ac:dyDescent="0.3">
      <c r="A277" s="2"/>
      <c r="B277" s="2"/>
      <c r="C277" s="2"/>
      <c r="D277" s="2"/>
      <c r="AF277" s="2340"/>
    </row>
    <row r="278" spans="1:32" ht="16.5" thickBot="1" x14ac:dyDescent="0.3">
      <c r="B278" s="685" t="s">
        <v>596</v>
      </c>
      <c r="C278" s="2"/>
      <c r="D278" s="9" t="s">
        <v>55</v>
      </c>
      <c r="AF278" s="2340"/>
    </row>
    <row r="279" spans="1:32" ht="15.75" thickBot="1" x14ac:dyDescent="0.3">
      <c r="B279" s="802" t="s">
        <v>280</v>
      </c>
      <c r="C279" s="60" t="str">
        <f>BGPartnerAP</f>
        <v>AP</v>
      </c>
      <c r="D279" s="60" t="str">
        <f>BGPartnerAG</f>
        <v>AG</v>
      </c>
      <c r="E279" s="1165" t="s">
        <v>56</v>
      </c>
      <c r="AF279" s="2340"/>
    </row>
    <row r="280" spans="1:32" x14ac:dyDescent="0.25">
      <c r="B280" s="803" t="str">
        <f>CONCATENATE("Oppaskosten kinderen in ",C20," per maand")</f>
        <v>Oppaskosten kinderen in  per maand</v>
      </c>
      <c r="C280" s="81">
        <v>0</v>
      </c>
      <c r="D280" s="81">
        <v>0</v>
      </c>
      <c r="E280" s="51">
        <f>SUM(C280:D280)</f>
        <v>0</v>
      </c>
      <c r="F280" s="2859" t="s">
        <v>663</v>
      </c>
      <c r="G280" s="2860"/>
      <c r="H280" s="2860"/>
      <c r="I280" s="2861"/>
      <c r="J280" s="33"/>
      <c r="AF280" s="2340"/>
    </row>
    <row r="281" spans="1:32" ht="15.75" thickBot="1" x14ac:dyDescent="0.3">
      <c r="B281" s="804" t="str">
        <f>CONCATENATE("Het in ",C20," ontvangen KGB per maand")</f>
        <v>Het in  ontvangen KGB per maand</v>
      </c>
      <c r="C281" s="82">
        <v>0</v>
      </c>
      <c r="D281" s="82">
        <v>0</v>
      </c>
      <c r="E281" s="805">
        <f>SUM(C281:D281)</f>
        <v>0</v>
      </c>
      <c r="F281" s="2862"/>
      <c r="G281" s="2863"/>
      <c r="H281" s="2863"/>
      <c r="I281" s="2864"/>
      <c r="AF281" s="2340"/>
    </row>
    <row r="282" spans="1:32" ht="15.75" thickBot="1" x14ac:dyDescent="0.3">
      <c r="B282" s="807" t="s">
        <v>1073</v>
      </c>
      <c r="C282" s="806">
        <f>AL59Arbeidsinkomen_AP+AL59Arbeidsinkomen_AG+AL60Arbeidsinkomen_AP+AL60Arbeidsinkomen_AG</f>
        <v>0</v>
      </c>
      <c r="D282" s="808"/>
      <c r="E282" s="2855" t="s">
        <v>598</v>
      </c>
      <c r="F282" s="2856"/>
      <c r="G282" s="2856"/>
      <c r="H282" s="2856"/>
      <c r="I282" s="2857"/>
      <c r="AF282" s="2340"/>
    </row>
    <row r="283" spans="1:32" ht="15.75" thickBot="1" x14ac:dyDescent="0.3">
      <c r="A283" s="2"/>
      <c r="B283" s="2"/>
      <c r="C283" s="2"/>
      <c r="D283" s="2"/>
      <c r="AF283" s="2340"/>
    </row>
    <row r="284" spans="1:32" ht="16.5" thickBot="1" x14ac:dyDescent="0.3">
      <c r="A284" s="2"/>
      <c r="B284" s="685" t="s">
        <v>597</v>
      </c>
      <c r="C284" s="2"/>
      <c r="D284" s="9" t="s">
        <v>55</v>
      </c>
      <c r="AF284" s="2340"/>
    </row>
    <row r="285" spans="1:32" ht="15.75" thickBot="1" x14ac:dyDescent="0.3">
      <c r="A285" s="632"/>
      <c r="B285" s="802" t="s">
        <v>278</v>
      </c>
      <c r="C285" s="22" t="str">
        <f>BGPartnerAP</f>
        <v>AP</v>
      </c>
      <c r="D285" s="22" t="str">
        <f>BGPartnerAG</f>
        <v>AG</v>
      </c>
      <c r="E285" s="142" t="s">
        <v>56</v>
      </c>
      <c r="AF285" s="2340"/>
    </row>
    <row r="286" spans="1:32" ht="15" customHeight="1" thickBot="1" x14ac:dyDescent="0.3">
      <c r="A286" s="576" t="s">
        <v>40</v>
      </c>
      <c r="B286" s="1385" t="str">
        <f>CONCATENATE("Na scheiding in ",C17," te ontvangen KGB per MAAND")</f>
        <v>Na scheiding in 2023 te ontvangen KGB per MAAND</v>
      </c>
      <c r="C286" s="143">
        <v>0</v>
      </c>
      <c r="D286" s="143">
        <v>0</v>
      </c>
      <c r="E286" s="479">
        <f>SUM(C286:D286)</f>
        <v>0</v>
      </c>
      <c r="F286" s="2873" t="s">
        <v>664</v>
      </c>
      <c r="G286" s="2874"/>
      <c r="H286" s="2874"/>
      <c r="I286" s="2875"/>
      <c r="AF286" s="2340"/>
    </row>
    <row r="287" spans="1:32" ht="15.75" thickBot="1" x14ac:dyDescent="0.3">
      <c r="B287" s="1386" t="s">
        <v>909</v>
      </c>
      <c r="C287" s="1387">
        <f>Q79</f>
        <v>0</v>
      </c>
      <c r="D287" s="1387">
        <f>R79</f>
        <v>0</v>
      </c>
      <c r="E287" s="2885" t="s">
        <v>598</v>
      </c>
      <c r="F287" s="2886"/>
      <c r="G287" s="2886"/>
      <c r="H287" s="2886"/>
      <c r="I287" s="2887"/>
      <c r="AF287" s="2340"/>
    </row>
    <row r="288" spans="1:32" ht="15.75" thickBot="1" x14ac:dyDescent="0.3">
      <c r="B288" s="694" t="s">
        <v>956</v>
      </c>
      <c r="C288" s="1388" t="s">
        <v>110</v>
      </c>
      <c r="D288" s="2858" t="str">
        <f>"Betreft het KGB dat NA de scheiding wordt ontvangen! Bij Ja stijgt de draagkracht van "&amp;BGPartnerAG&amp;"."</f>
        <v>Betreft het KGB dat NA de scheiding wordt ontvangen! Bij Ja stijgt de draagkracht van AG.</v>
      </c>
      <c r="E288" s="2763"/>
      <c r="F288" s="2763"/>
      <c r="G288" s="2763"/>
      <c r="H288" s="2763"/>
      <c r="I288" s="2696"/>
      <c r="AF288" s="2340"/>
    </row>
    <row r="289" spans="1:32" s="986" customFormat="1" ht="15.75" customHeight="1" thickBot="1" x14ac:dyDescent="0.3">
      <c r="A289" s="18"/>
      <c r="B289" s="1390" t="s">
        <v>797</v>
      </c>
      <c r="C289" s="1389" t="s">
        <v>109</v>
      </c>
      <c r="D289" s="2737" t="s">
        <v>476</v>
      </c>
      <c r="E289" s="2737"/>
      <c r="F289" s="2737"/>
      <c r="G289" s="2737"/>
      <c r="H289" s="2737"/>
      <c r="I289" s="2738"/>
      <c r="J289" s="2"/>
      <c r="L289" s="2"/>
      <c r="M289" s="18"/>
      <c r="N289" s="18"/>
      <c r="O289" s="18"/>
      <c r="P289" s="18"/>
      <c r="Q289" s="18"/>
      <c r="R289" s="18"/>
      <c r="S289" s="2"/>
      <c r="T289" s="2"/>
      <c r="U289" s="2"/>
      <c r="V289" s="2"/>
      <c r="W289" s="2"/>
      <c r="X289" s="2"/>
      <c r="Y289" s="2"/>
      <c r="Z289" s="2"/>
      <c r="AA289" s="2"/>
      <c r="AB289" s="2"/>
      <c r="AC289" s="2"/>
      <c r="AD289" s="2"/>
      <c r="AE289" s="2"/>
      <c r="AF289" s="2341"/>
    </row>
    <row r="290" spans="1:32" ht="15.75" thickBot="1" x14ac:dyDescent="0.3">
      <c r="B290" s="2"/>
      <c r="C290" s="2"/>
      <c r="D290" s="1044"/>
      <c r="H290" s="163"/>
      <c r="I290" s="163"/>
      <c r="L290" s="986"/>
      <c r="M290" s="986"/>
      <c r="N290" s="986"/>
      <c r="O290" s="986"/>
      <c r="P290" s="986"/>
      <c r="Q290" s="986"/>
      <c r="R290" s="986"/>
      <c r="S290" s="986"/>
      <c r="T290" s="986"/>
      <c r="U290" s="986"/>
      <c r="V290" s="986"/>
      <c r="W290" s="986"/>
      <c r="X290" s="986"/>
      <c r="Y290" s="986"/>
      <c r="Z290" s="986"/>
      <c r="AA290" s="986"/>
      <c r="AB290" s="986"/>
      <c r="AC290" s="986"/>
      <c r="AD290" s="986"/>
      <c r="AE290" s="986"/>
      <c r="AF290" s="2340"/>
    </row>
    <row r="291" spans="1:32" ht="15.75" thickBot="1" x14ac:dyDescent="0.3">
      <c r="B291" s="2694" t="s">
        <v>1093</v>
      </c>
      <c r="C291" s="2695"/>
      <c r="D291" s="2661"/>
      <c r="E291" s="882" t="s">
        <v>110</v>
      </c>
      <c r="F291" s="2" t="s">
        <v>1092</v>
      </c>
      <c r="H291" s="2667" t="s">
        <v>660</v>
      </c>
      <c r="I291" s="2871"/>
      <c r="J291" s="2872"/>
      <c r="AF291" s="2340"/>
    </row>
    <row r="292" spans="1:32" ht="15.75" thickBot="1" x14ac:dyDescent="0.3">
      <c r="H292" s="2764" t="s">
        <v>670</v>
      </c>
      <c r="I292" s="2657" t="s">
        <v>1090</v>
      </c>
      <c r="J292" s="2765" t="s">
        <v>1091</v>
      </c>
      <c r="L292" s="2939" t="s">
        <v>672</v>
      </c>
      <c r="M292" s="2939"/>
      <c r="N292" s="2939"/>
      <c r="O292" s="2"/>
      <c r="P292" s="2"/>
      <c r="R292" s="2"/>
      <c r="AF292" s="2340"/>
    </row>
    <row r="293" spans="1:32" ht="15.75" thickBot="1" x14ac:dyDescent="0.3">
      <c r="B293" s="107" t="s">
        <v>462</v>
      </c>
      <c r="C293" s="2883" t="s">
        <v>666</v>
      </c>
      <c r="D293" s="2884"/>
      <c r="F293" s="2657" t="s">
        <v>279</v>
      </c>
      <c r="G293" s="133"/>
      <c r="H293" s="2876"/>
      <c r="I293" s="2666"/>
      <c r="J293" s="2877"/>
      <c r="L293" s="18"/>
      <c r="M293" s="107"/>
      <c r="N293" s="2883" t="s">
        <v>671</v>
      </c>
      <c r="O293" s="2938"/>
      <c r="P293" s="2"/>
      <c r="R293" s="2"/>
      <c r="AF293" s="2340"/>
    </row>
    <row r="294" spans="1:32" ht="15.75" thickBot="1" x14ac:dyDescent="0.3">
      <c r="A294" s="9" t="s">
        <v>287</v>
      </c>
      <c r="B294" s="988" t="s">
        <v>608</v>
      </c>
      <c r="C294" s="1001" t="str">
        <f>BGPartnerAP</f>
        <v>AP</v>
      </c>
      <c r="D294" s="60" t="str">
        <f>BGPartnerAG</f>
        <v>AG</v>
      </c>
      <c r="E294" s="325" t="s">
        <v>273</v>
      </c>
      <c r="F294" s="2658"/>
      <c r="G294" s="38" t="s">
        <v>271</v>
      </c>
      <c r="H294" s="2659"/>
      <c r="I294" s="2658"/>
      <c r="J294" s="2766"/>
      <c r="L294" s="155" t="s">
        <v>249</v>
      </c>
      <c r="M294" s="120" t="s">
        <v>91</v>
      </c>
      <c r="N294" s="22" t="str">
        <f>BGPartnerAP</f>
        <v>AP</v>
      </c>
      <c r="O294" s="22" t="str">
        <f>BGPartnerAG</f>
        <v>AG</v>
      </c>
      <c r="P294" s="142" t="s">
        <v>56</v>
      </c>
      <c r="Q294" s="2657" t="s">
        <v>880</v>
      </c>
      <c r="R294" s="2"/>
      <c r="AF294" s="2340"/>
    </row>
    <row r="295" spans="1:32" x14ac:dyDescent="0.25">
      <c r="A295" s="28">
        <v>1</v>
      </c>
      <c r="B295" s="1297"/>
      <c r="C295" s="990">
        <v>0</v>
      </c>
      <c r="D295" s="990">
        <v>0</v>
      </c>
      <c r="E295" s="1719"/>
      <c r="F295" s="1128">
        <v>0</v>
      </c>
      <c r="G295" s="1131">
        <v>0.15</v>
      </c>
      <c r="H295" s="2448">
        <v>0</v>
      </c>
      <c r="I295" s="2449">
        <v>0</v>
      </c>
      <c r="J295" s="2450">
        <v>0</v>
      </c>
      <c r="L295" s="28">
        <v>1</v>
      </c>
      <c r="M295" s="661" t="s">
        <v>863</v>
      </c>
      <c r="N295" s="458">
        <f>COUNTIFS(C$312:C$323,M295)</f>
        <v>0</v>
      </c>
      <c r="O295" s="458">
        <f>COUNTIFS(D$312:D$323,M295)</f>
        <v>0</v>
      </c>
      <c r="P295" s="16">
        <f t="shared" ref="P295" si="40">SUM(N295:O295)</f>
        <v>0</v>
      </c>
      <c r="Q295" s="2666"/>
      <c r="R295" s="2"/>
      <c r="AF295" s="2340"/>
    </row>
    <row r="296" spans="1:32" x14ac:dyDescent="0.25">
      <c r="A296" s="69">
        <v>2</v>
      </c>
      <c r="B296" s="1298"/>
      <c r="C296" s="241">
        <v>0</v>
      </c>
      <c r="D296" s="241">
        <v>0</v>
      </c>
      <c r="E296" s="1720"/>
      <c r="F296" s="1129">
        <v>0</v>
      </c>
      <c r="G296" s="1132">
        <v>0.15</v>
      </c>
      <c r="H296" s="2451">
        <v>0</v>
      </c>
      <c r="I296" s="2449">
        <v>0</v>
      </c>
      <c r="J296" s="2452">
        <v>0</v>
      </c>
      <c r="L296" s="69">
        <v>2</v>
      </c>
      <c r="M296" s="662" t="s">
        <v>886</v>
      </c>
      <c r="N296" s="459">
        <f>COUNTIFS(C$312:C$323,M296)</f>
        <v>0</v>
      </c>
      <c r="O296" s="459">
        <f>COUNTIFS(D$312:D$323,M296)</f>
        <v>0</v>
      </c>
      <c r="P296" s="17">
        <f>SUM(N296:O296)</f>
        <v>0</v>
      </c>
      <c r="Q296" s="2666"/>
      <c r="AF296" s="2340"/>
    </row>
    <row r="297" spans="1:32" x14ac:dyDescent="0.25">
      <c r="A297" s="69">
        <v>3</v>
      </c>
      <c r="B297" s="1298"/>
      <c r="C297" s="241">
        <v>0</v>
      </c>
      <c r="D297" s="241">
        <v>0</v>
      </c>
      <c r="E297" s="1720"/>
      <c r="F297" s="1129">
        <v>0</v>
      </c>
      <c r="G297" s="1132">
        <v>0.15</v>
      </c>
      <c r="H297" s="2451">
        <v>0</v>
      </c>
      <c r="I297" s="2453">
        <v>0</v>
      </c>
      <c r="J297" s="2452">
        <v>0</v>
      </c>
      <c r="L297" s="69">
        <v>3</v>
      </c>
      <c r="M297" s="662" t="s">
        <v>646</v>
      </c>
      <c r="N297" s="459">
        <f>COUNTIFS(C$312:C$323,M297)</f>
        <v>0</v>
      </c>
      <c r="O297" s="459">
        <f>COUNTIFS(D$312:D$323,M297)</f>
        <v>0</v>
      </c>
      <c r="P297" s="17">
        <f>SUM(N297:O297)</f>
        <v>0</v>
      </c>
      <c r="Q297" s="2666"/>
      <c r="AF297" s="2340"/>
    </row>
    <row r="298" spans="1:32" ht="15.75" thickBot="1" x14ac:dyDescent="0.3">
      <c r="A298" s="69">
        <v>4</v>
      </c>
      <c r="B298" s="1299"/>
      <c r="C298" s="240">
        <v>0</v>
      </c>
      <c r="D298" s="240">
        <v>0</v>
      </c>
      <c r="E298" s="1720"/>
      <c r="F298" s="1129">
        <v>0</v>
      </c>
      <c r="G298" s="1132">
        <v>0.15</v>
      </c>
      <c r="H298" s="2451">
        <v>0</v>
      </c>
      <c r="I298" s="2453">
        <v>0</v>
      </c>
      <c r="J298" s="2452">
        <v>0</v>
      </c>
      <c r="L298" s="174">
        <v>4</v>
      </c>
      <c r="M298" s="1003" t="s">
        <v>884</v>
      </c>
      <c r="N298" s="1000">
        <f>COUNTIFS(C$312:C$323,M298)</f>
        <v>0</v>
      </c>
      <c r="O298" s="1000">
        <f>COUNTIFS(D$312:D$323,M298)</f>
        <v>0</v>
      </c>
      <c r="P298" s="1002">
        <f>SUM(N298:O298)</f>
        <v>0</v>
      </c>
      <c r="Q298" s="2658"/>
      <c r="AF298" s="2340"/>
    </row>
    <row r="299" spans="1:32" ht="15.75" thickBot="1" x14ac:dyDescent="0.3">
      <c r="A299" s="69">
        <v>5</v>
      </c>
      <c r="B299" s="1298"/>
      <c r="C299" s="241">
        <v>0</v>
      </c>
      <c r="D299" s="241">
        <v>0</v>
      </c>
      <c r="E299" s="1720"/>
      <c r="F299" s="1129">
        <v>0</v>
      </c>
      <c r="G299" s="1132">
        <v>0.15</v>
      </c>
      <c r="H299" s="2451">
        <v>0</v>
      </c>
      <c r="I299" s="2453">
        <v>0</v>
      </c>
      <c r="J299" s="2452">
        <v>0</v>
      </c>
      <c r="L299" s="2676" t="s">
        <v>647</v>
      </c>
      <c r="M299" s="2896"/>
      <c r="N299" s="129">
        <f>SUM(N295:N298)</f>
        <v>0</v>
      </c>
      <c r="O299" s="129">
        <f>SUM(O295:O298)</f>
        <v>0</v>
      </c>
      <c r="P299" s="129">
        <f>SUM(P295:P298)</f>
        <v>0</v>
      </c>
      <c r="Q299" s="997">
        <f>IF(P299&gt;4,4,P299)</f>
        <v>0</v>
      </c>
      <c r="AF299" s="2340"/>
    </row>
    <row r="300" spans="1:32" ht="15.75" thickBot="1" x14ac:dyDescent="0.3">
      <c r="A300" s="69">
        <v>6</v>
      </c>
      <c r="B300" s="1298"/>
      <c r="C300" s="241">
        <v>0</v>
      </c>
      <c r="D300" s="241">
        <v>0</v>
      </c>
      <c r="E300" s="1720"/>
      <c r="F300" s="1129">
        <v>0</v>
      </c>
      <c r="G300" s="1132">
        <v>0.15</v>
      </c>
      <c r="H300" s="2451">
        <v>0</v>
      </c>
      <c r="I300" s="2453">
        <v>0</v>
      </c>
      <c r="J300" s="2452">
        <v>0</v>
      </c>
      <c r="L300" s="28">
        <v>5</v>
      </c>
      <c r="M300" s="661" t="s">
        <v>639</v>
      </c>
      <c r="N300" s="1625">
        <f>COUNTIFS(C$312:C$323,M300)</f>
        <v>0</v>
      </c>
      <c r="O300" s="1427">
        <f>COUNTIFS(D$312:D$323,M300)</f>
        <v>0</v>
      </c>
      <c r="P300" s="1626">
        <f>SUM(N300:O300)</f>
        <v>0</v>
      </c>
      <c r="Q300" s="1674" t="s">
        <v>882</v>
      </c>
      <c r="R300" s="817"/>
      <c r="AF300" s="2340"/>
    </row>
    <row r="301" spans="1:32" ht="15.75" thickBot="1" x14ac:dyDescent="0.3">
      <c r="A301" s="69">
        <v>7</v>
      </c>
      <c r="B301" s="1298"/>
      <c r="C301" s="241">
        <v>0</v>
      </c>
      <c r="D301" s="241">
        <v>0</v>
      </c>
      <c r="E301" s="1720"/>
      <c r="F301" s="1129">
        <v>0</v>
      </c>
      <c r="G301" s="1132">
        <v>0.15</v>
      </c>
      <c r="H301" s="2451">
        <v>0</v>
      </c>
      <c r="I301" s="2453">
        <v>0</v>
      </c>
      <c r="J301" s="2452">
        <v>0</v>
      </c>
      <c r="L301" s="359">
        <v>6</v>
      </c>
      <c r="M301" s="109" t="s">
        <v>885</v>
      </c>
      <c r="N301" s="1627">
        <f>COUNTIFS(C$312:C$323,M301)</f>
        <v>0</v>
      </c>
      <c r="O301" s="1628">
        <f>COUNTIFS(D$312:D$323,M301)</f>
        <v>0</v>
      </c>
      <c r="P301" s="145">
        <f>SUM(N301:O301)</f>
        <v>0</v>
      </c>
      <c r="AF301" s="2340"/>
    </row>
    <row r="302" spans="1:32" ht="15.75" thickBot="1" x14ac:dyDescent="0.3">
      <c r="A302" s="69">
        <v>8</v>
      </c>
      <c r="B302" s="1298"/>
      <c r="C302" s="241">
        <v>0</v>
      </c>
      <c r="D302" s="241">
        <v>0</v>
      </c>
      <c r="E302" s="1720"/>
      <c r="F302" s="1129">
        <v>0</v>
      </c>
      <c r="G302" s="1132">
        <v>0.15</v>
      </c>
      <c r="H302" s="2451">
        <v>0</v>
      </c>
      <c r="I302" s="2453">
        <v>0</v>
      </c>
      <c r="J302" s="2452">
        <v>0</v>
      </c>
      <c r="L302" s="2676" t="s">
        <v>864</v>
      </c>
      <c r="M302" s="2896"/>
      <c r="N302" s="129">
        <f>SUM(N299:N301)</f>
        <v>0</v>
      </c>
      <c r="O302" s="129">
        <f t="shared" ref="O302:P302" si="41">SUM(O299:O301)</f>
        <v>0</v>
      </c>
      <c r="P302" s="129">
        <f t="shared" si="41"/>
        <v>0</v>
      </c>
      <c r="Q302" s="2"/>
      <c r="R302" s="2"/>
      <c r="AF302" s="2340"/>
    </row>
    <row r="303" spans="1:32" x14ac:dyDescent="0.25">
      <c r="A303" s="69">
        <v>9</v>
      </c>
      <c r="B303" s="1298"/>
      <c r="C303" s="241">
        <v>0</v>
      </c>
      <c r="D303" s="241">
        <v>0</v>
      </c>
      <c r="E303" s="1720"/>
      <c r="F303" s="1129">
        <v>0</v>
      </c>
      <c r="G303" s="1132">
        <v>0.15</v>
      </c>
      <c r="H303" s="2451">
        <v>0</v>
      </c>
      <c r="I303" s="2453">
        <v>0</v>
      </c>
      <c r="J303" s="2452">
        <v>0</v>
      </c>
      <c r="M303" s="2"/>
      <c r="N303" s="2"/>
      <c r="O303" s="2"/>
      <c r="P303" s="2"/>
      <c r="Q303" s="2"/>
      <c r="R303" s="2"/>
      <c r="AF303" s="2340"/>
    </row>
    <row r="304" spans="1:32" x14ac:dyDescent="0.25">
      <c r="A304" s="69">
        <v>10</v>
      </c>
      <c r="B304" s="1298"/>
      <c r="C304" s="241">
        <v>0</v>
      </c>
      <c r="D304" s="241">
        <v>0</v>
      </c>
      <c r="E304" s="1720"/>
      <c r="F304" s="1129">
        <v>0</v>
      </c>
      <c r="G304" s="1132">
        <v>0.15</v>
      </c>
      <c r="H304" s="2451">
        <v>0</v>
      </c>
      <c r="I304" s="2453">
        <v>0</v>
      </c>
      <c r="J304" s="2452">
        <v>0</v>
      </c>
      <c r="N304" s="1081"/>
      <c r="O304" s="1081"/>
      <c r="P304" s="1081"/>
      <c r="AF304" s="2340"/>
    </row>
    <row r="305" spans="1:32" x14ac:dyDescent="0.25">
      <c r="A305" s="69">
        <v>11</v>
      </c>
      <c r="B305" s="1298"/>
      <c r="C305" s="241">
        <v>0</v>
      </c>
      <c r="D305" s="241">
        <v>0</v>
      </c>
      <c r="E305" s="1720"/>
      <c r="F305" s="1129">
        <v>0</v>
      </c>
      <c r="G305" s="1132">
        <v>0.15</v>
      </c>
      <c r="H305" s="2451">
        <v>0</v>
      </c>
      <c r="I305" s="2453">
        <v>0</v>
      </c>
      <c r="J305" s="2452">
        <v>0</v>
      </c>
      <c r="Q305" s="2"/>
      <c r="R305" s="2"/>
      <c r="AF305" s="2340"/>
    </row>
    <row r="306" spans="1:32" ht="15.75" thickBot="1" x14ac:dyDescent="0.3">
      <c r="A306" s="30">
        <v>12</v>
      </c>
      <c r="B306" s="1300"/>
      <c r="C306" s="242">
        <v>0</v>
      </c>
      <c r="D306" s="242">
        <v>0</v>
      </c>
      <c r="E306" s="1721"/>
      <c r="F306" s="1130">
        <v>0</v>
      </c>
      <c r="G306" s="1133">
        <v>0.15</v>
      </c>
      <c r="H306" s="2454">
        <v>0</v>
      </c>
      <c r="I306" s="2455">
        <v>0</v>
      </c>
      <c r="J306" s="2456">
        <v>0</v>
      </c>
      <c r="Q306" s="2"/>
      <c r="R306" s="2"/>
      <c r="AF306" s="2340"/>
    </row>
    <row r="307" spans="1:32" ht="15.75" thickBot="1" x14ac:dyDescent="0.3">
      <c r="B307" s="989" t="s">
        <v>135</v>
      </c>
      <c r="C307" s="132">
        <f>SUM(C295:C306)</f>
        <v>0</v>
      </c>
      <c r="D307" s="131">
        <f>SUM(D295:D306)</f>
        <v>0</v>
      </c>
      <c r="E307" s="21"/>
      <c r="F307" s="364">
        <f>SUM(F295:F306)</f>
        <v>0</v>
      </c>
      <c r="Q307" s="2"/>
      <c r="R307" s="2"/>
      <c r="AF307" s="2340"/>
    </row>
    <row r="308" spans="1:32" ht="15.75" thickBot="1" x14ac:dyDescent="0.3">
      <c r="A308" s="986"/>
      <c r="B308" s="597"/>
      <c r="C308" s="987"/>
      <c r="D308" s="987"/>
      <c r="E308" s="986"/>
      <c r="F308" s="986"/>
      <c r="G308" s="986"/>
      <c r="H308" s="986"/>
      <c r="I308" s="986"/>
      <c r="J308" s="986"/>
      <c r="Q308" s="2"/>
      <c r="R308" s="2"/>
      <c r="AF308" s="2340"/>
    </row>
    <row r="309" spans="1:32" ht="15.75" thickBot="1" x14ac:dyDescent="0.3">
      <c r="G309" s="2667" t="s">
        <v>659</v>
      </c>
      <c r="H309" s="2871"/>
      <c r="I309" s="2871"/>
      <c r="J309" s="2872"/>
      <c r="M309" s="124" t="s">
        <v>831</v>
      </c>
      <c r="N309" s="1081"/>
      <c r="O309" s="1081"/>
      <c r="P309" s="1081"/>
      <c r="Q309" s="2"/>
      <c r="R309" s="2"/>
      <c r="AF309" s="2340"/>
    </row>
    <row r="310" spans="1:32" ht="15.75" thickBot="1" x14ac:dyDescent="0.3">
      <c r="B310" s="107" t="s">
        <v>648</v>
      </c>
      <c r="C310" s="2660" t="s">
        <v>661</v>
      </c>
      <c r="D310" s="2888"/>
      <c r="E310" s="22" t="s">
        <v>649</v>
      </c>
      <c r="G310" s="2657" t="s">
        <v>652</v>
      </c>
      <c r="H310" s="2657" t="s">
        <v>786</v>
      </c>
      <c r="I310" s="2657" t="s">
        <v>651</v>
      </c>
      <c r="J310" s="2657" t="s">
        <v>657</v>
      </c>
      <c r="M310" s="984" t="s">
        <v>105</v>
      </c>
      <c r="N310" s="731" t="s">
        <v>642</v>
      </c>
      <c r="O310" s="732" t="s">
        <v>643</v>
      </c>
      <c r="P310" s="1081"/>
      <c r="Q310" s="2"/>
      <c r="R310" s="2"/>
      <c r="AF310" s="2340"/>
    </row>
    <row r="311" spans="1:32" ht="15.75" thickBot="1" x14ac:dyDescent="0.3">
      <c r="A311" s="1164" t="s">
        <v>287</v>
      </c>
      <c r="B311" s="1007" t="s">
        <v>608</v>
      </c>
      <c r="C311" s="60" t="str">
        <f>BGPartnerAP</f>
        <v>AP</v>
      </c>
      <c r="D311" s="1001" t="str">
        <f>BGPartnerAG</f>
        <v>AG</v>
      </c>
      <c r="E311" s="1675">
        <f>$C$16</f>
        <v>45108</v>
      </c>
      <c r="F311" s="38" t="s">
        <v>638</v>
      </c>
      <c r="G311" s="2658"/>
      <c r="H311" s="2658"/>
      <c r="I311" s="2658"/>
      <c r="J311" s="2658"/>
      <c r="M311" s="1156" t="s">
        <v>640</v>
      </c>
      <c r="N311" s="1082">
        <v>90.85</v>
      </c>
      <c r="O311" s="1083">
        <v>296.51</v>
      </c>
      <c r="P311" s="1081"/>
      <c r="Q311" s="2"/>
      <c r="R311" s="2"/>
      <c r="AF311" s="2340"/>
    </row>
    <row r="312" spans="1:32" x14ac:dyDescent="0.25">
      <c r="A312" s="632">
        <v>1</v>
      </c>
      <c r="B312" s="1008" t="str">
        <f t="shared" ref="B312:B323" si="42">IF(TRIM(B295)="","--",B295)</f>
        <v>--</v>
      </c>
      <c r="C312" s="1009" t="str">
        <f t="shared" ref="C312:D323" si="43">IF(C295=0,"--",IF(AND(($C295+$D295)&gt;0,AND($E312&gt;=12,$E312&lt;=17,LEFT($F312,3)="MBO")),"12 t/m 17 (MBO)",IF(AND(($C295+$D295)&gt;0,AND($E312&gt;=0,$E312&lt;=17,$F312="Behoeftetabel")),"0 t/m 17 (Tabel)",IF(AND(($C295+$D295)&gt;0,AND($E312&gt;=16,$E312&lt;=21,$F312="Zelfvoorzienend")),"Zelfvoorzienend",IF(AND(($C295+$D295)&gt;0,AND($E312&gt;=18,$E312&lt;21,$F312="Behoeftetabel")),"18 tot 21 (tabel)",IF(AND(($C295+$D295)&gt;0,AND($E312&gt;=18,$E312&lt;21,OR(LEFT($F312,3)="MBO",LEFT($F312,6)="HBO/WO"))),"18 tot 21 (Student)",IF(AND(($C295+$D295)&gt;0,$E312&gt;=21,$E312&lt;50),"21 of ouder","???")))))))</f>
        <v>--</v>
      </c>
      <c r="D312" s="1009" t="str">
        <f t="shared" si="43"/>
        <v>--</v>
      </c>
      <c r="E312" s="1019" t="str">
        <f t="shared" ref="E312:E323" si="44">IF(OR(TRIM(B295)="",TRIM(E295)=""),"--",YEAR(C$16-(E295-1))-1900)</f>
        <v>--</v>
      </c>
      <c r="F312" s="1010" t="s">
        <v>635</v>
      </c>
      <c r="G312" s="1013">
        <v>0</v>
      </c>
      <c r="H312" s="1016" t="s">
        <v>110</v>
      </c>
      <c r="I312" s="1648" t="str">
        <f t="shared" ref="I312:I323" si="45">IF($I$324-(DATE(YEAR($E295)+18,MONTH($E295),DAY($E295)))&lt;0,"Nee","Ja")</f>
        <v>Ja</v>
      </c>
      <c r="J312" s="1294" t="str">
        <f t="shared" ref="J312:J323" si="46">IF(AND($F312="MBO Thuisw.",$I312="Nee"),$N$314-($N$315/12)-SUM($H295:$J295),IF($F312="MBO Thuisw.",$N$314-SUM($H295:$J295),IF(AND($F312="MBO Uitwonend",$I312="Nee"),$O$314-($N$315/12)-SUM($H295:$J295),IF($F312="MBO Uitwonend",$O$314-SUM($H295:$J295),IF(AND($F312="HBO/WO",$H312="Ja"),$N$322-($N$323/12)-SUM($H295:$J295),IF($F312="HBO/WO",$N$322-SUM($H295:$J295),IF($F312="MBO Berekend",$G312-SUM($H295:$J295),IF($F312="HBO/WO Berekend",$G312-$H295-$J295,IF($F312="Zelfvoorzienend","n.v.t","--")))))))))</f>
        <v>--</v>
      </c>
      <c r="M312" s="1157" t="s">
        <v>641</v>
      </c>
      <c r="N312" s="1074">
        <v>381.25</v>
      </c>
      <c r="O312" s="1073">
        <v>405.23</v>
      </c>
      <c r="P312" s="1081"/>
      <c r="Q312" s="2"/>
      <c r="R312" s="2"/>
      <c r="AF312" s="2340"/>
    </row>
    <row r="313" spans="1:32" ht="15.75" thickBot="1" x14ac:dyDescent="0.3">
      <c r="A313" s="282">
        <v>2</v>
      </c>
      <c r="B313" s="994" t="str">
        <f t="shared" si="42"/>
        <v>--</v>
      </c>
      <c r="C313" s="998" t="str">
        <f t="shared" si="43"/>
        <v>--</v>
      </c>
      <c r="D313" s="663" t="str">
        <f t="shared" si="43"/>
        <v>--</v>
      </c>
      <c r="E313" s="1020" t="str">
        <f t="shared" si="44"/>
        <v>--</v>
      </c>
      <c r="F313" s="1011" t="s">
        <v>635</v>
      </c>
      <c r="G313" s="1014">
        <v>0</v>
      </c>
      <c r="H313" s="721" t="s">
        <v>110</v>
      </c>
      <c r="I313" s="1649" t="str">
        <f t="shared" si="45"/>
        <v>Ja</v>
      </c>
      <c r="J313" s="1335" t="str">
        <f t="shared" si="46"/>
        <v>--</v>
      </c>
      <c r="M313" s="1158" t="s">
        <v>584</v>
      </c>
      <c r="N313" s="1076">
        <v>197.93</v>
      </c>
      <c r="O313" s="1075">
        <v>197.93</v>
      </c>
      <c r="P313" s="1081"/>
      <c r="Q313" s="2"/>
      <c r="R313" s="2"/>
      <c r="AF313" s="2340"/>
    </row>
    <row r="314" spans="1:32" ht="15.75" thickBot="1" x14ac:dyDescent="0.3">
      <c r="A314" s="282">
        <v>3</v>
      </c>
      <c r="B314" s="994" t="str">
        <f t="shared" si="42"/>
        <v>--</v>
      </c>
      <c r="C314" s="998" t="str">
        <f t="shared" si="43"/>
        <v>--</v>
      </c>
      <c r="D314" s="663" t="str">
        <f t="shared" si="43"/>
        <v>--</v>
      </c>
      <c r="E314" s="1020" t="str">
        <f t="shared" si="44"/>
        <v>--</v>
      </c>
      <c r="F314" s="1011" t="s">
        <v>635</v>
      </c>
      <c r="G314" s="1014">
        <v>0</v>
      </c>
      <c r="H314" s="721" t="s">
        <v>110</v>
      </c>
      <c r="I314" s="1649" t="str">
        <f t="shared" si="45"/>
        <v>Ja</v>
      </c>
      <c r="J314" s="1335" t="str">
        <f t="shared" si="46"/>
        <v>--</v>
      </c>
      <c r="M314" s="985" t="s">
        <v>619</v>
      </c>
      <c r="N314" s="1084">
        <f>SUM(N311:N313)</f>
        <v>670.03</v>
      </c>
      <c r="O314" s="1085">
        <f>SUM(O311:O313)</f>
        <v>899.67000000000007</v>
      </c>
      <c r="P314" s="1081"/>
      <c r="Q314" s="2"/>
      <c r="R314" s="2"/>
      <c r="AF314" s="2340"/>
    </row>
    <row r="315" spans="1:32" ht="16.149999999999999" customHeight="1" thickBot="1" x14ac:dyDescent="0.3">
      <c r="A315" s="282">
        <v>4</v>
      </c>
      <c r="B315" s="994" t="str">
        <f t="shared" si="42"/>
        <v>--</v>
      </c>
      <c r="C315" s="998" t="str">
        <f t="shared" si="43"/>
        <v>--</v>
      </c>
      <c r="D315" s="663" t="str">
        <f t="shared" si="43"/>
        <v>--</v>
      </c>
      <c r="E315" s="1020" t="str">
        <f t="shared" si="44"/>
        <v>--</v>
      </c>
      <c r="F315" s="1011" t="s">
        <v>635</v>
      </c>
      <c r="G315" s="1014">
        <v>0</v>
      </c>
      <c r="H315" s="721" t="s">
        <v>110</v>
      </c>
      <c r="I315" s="1649" t="str">
        <f t="shared" si="45"/>
        <v>Ja</v>
      </c>
      <c r="J315" s="1335" t="str">
        <f t="shared" si="46"/>
        <v>--</v>
      </c>
      <c r="M315" s="1159" t="s">
        <v>662</v>
      </c>
      <c r="N315" s="1086">
        <f>103.25*12</f>
        <v>1239</v>
      </c>
      <c r="O315" s="1081"/>
      <c r="P315" s="1081"/>
      <c r="Q315" s="2"/>
      <c r="R315" s="2"/>
      <c r="AF315" s="2340"/>
    </row>
    <row r="316" spans="1:32" ht="15.75" customHeight="1" x14ac:dyDescent="0.25">
      <c r="A316" s="282">
        <v>5</v>
      </c>
      <c r="B316" s="994" t="str">
        <f t="shared" si="42"/>
        <v>--</v>
      </c>
      <c r="C316" s="998" t="str">
        <f t="shared" si="43"/>
        <v>--</v>
      </c>
      <c r="D316" s="663" t="str">
        <f t="shared" si="43"/>
        <v>--</v>
      </c>
      <c r="E316" s="1020" t="str">
        <f t="shared" si="44"/>
        <v>--</v>
      </c>
      <c r="F316" s="1011" t="s">
        <v>635</v>
      </c>
      <c r="G316" s="1014">
        <v>0</v>
      </c>
      <c r="H316" s="721" t="s">
        <v>110</v>
      </c>
      <c r="I316" s="1649" t="str">
        <f t="shared" si="45"/>
        <v>Ja</v>
      </c>
      <c r="J316" s="1335" t="str">
        <f t="shared" si="46"/>
        <v>--</v>
      </c>
      <c r="M316" s="986"/>
      <c r="N316" s="1081"/>
      <c r="O316" s="1081"/>
      <c r="P316" s="1081"/>
      <c r="Q316" s="2"/>
      <c r="R316" s="2"/>
      <c r="AF316" s="2340"/>
    </row>
    <row r="317" spans="1:32" ht="15.75" thickBot="1" x14ac:dyDescent="0.3">
      <c r="A317" s="282">
        <v>6</v>
      </c>
      <c r="B317" s="994" t="str">
        <f t="shared" si="42"/>
        <v>--</v>
      </c>
      <c r="C317" s="998" t="str">
        <f t="shared" si="43"/>
        <v>--</v>
      </c>
      <c r="D317" s="663" t="str">
        <f t="shared" si="43"/>
        <v>--</v>
      </c>
      <c r="E317" s="1020" t="str">
        <f t="shared" si="44"/>
        <v>--</v>
      </c>
      <c r="F317" s="1011" t="s">
        <v>635</v>
      </c>
      <c r="G317" s="1014">
        <v>0</v>
      </c>
      <c r="H317" s="721" t="s">
        <v>110</v>
      </c>
      <c r="I317" s="1649" t="str">
        <f t="shared" si="45"/>
        <v>Ja</v>
      </c>
      <c r="J317" s="1335" t="str">
        <f t="shared" si="46"/>
        <v>--</v>
      </c>
      <c r="M317" s="124" t="s">
        <v>832</v>
      </c>
      <c r="N317" s="1081"/>
      <c r="O317" s="1081"/>
      <c r="P317" s="1081"/>
      <c r="Q317" s="2"/>
      <c r="R317" s="2"/>
      <c r="AF317" s="2340"/>
    </row>
    <row r="318" spans="1:32" ht="15.75" thickBot="1" x14ac:dyDescent="0.3">
      <c r="A318" s="282">
        <v>7</v>
      </c>
      <c r="B318" s="994" t="str">
        <f t="shared" si="42"/>
        <v>--</v>
      </c>
      <c r="C318" s="998" t="str">
        <f t="shared" si="43"/>
        <v>--</v>
      </c>
      <c r="D318" s="663" t="str">
        <f t="shared" si="43"/>
        <v>--</v>
      </c>
      <c r="E318" s="1020" t="str">
        <f t="shared" si="44"/>
        <v>--</v>
      </c>
      <c r="F318" s="1011" t="s">
        <v>635</v>
      </c>
      <c r="G318" s="1014">
        <v>0</v>
      </c>
      <c r="H318" s="721" t="s">
        <v>110</v>
      </c>
      <c r="I318" s="1649" t="str">
        <f t="shared" si="45"/>
        <v>Ja</v>
      </c>
      <c r="J318" s="1335" t="str">
        <f t="shared" si="46"/>
        <v>--</v>
      </c>
      <c r="M318" s="984" t="s">
        <v>105</v>
      </c>
      <c r="N318" s="732" t="s">
        <v>347</v>
      </c>
      <c r="O318" s="1081"/>
      <c r="P318" s="1081"/>
      <c r="Q318" s="2"/>
      <c r="R318" s="2"/>
      <c r="AF318" s="2340"/>
    </row>
    <row r="319" spans="1:32" x14ac:dyDescent="0.25">
      <c r="A319" s="282">
        <v>8</v>
      </c>
      <c r="B319" s="994" t="str">
        <f t="shared" si="42"/>
        <v>--</v>
      </c>
      <c r="C319" s="998" t="str">
        <f t="shared" si="43"/>
        <v>--</v>
      </c>
      <c r="D319" s="663" t="str">
        <f t="shared" si="43"/>
        <v>--</v>
      </c>
      <c r="E319" s="1020" t="str">
        <f t="shared" si="44"/>
        <v>--</v>
      </c>
      <c r="F319" s="1011" t="s">
        <v>635</v>
      </c>
      <c r="G319" s="1014">
        <v>0</v>
      </c>
      <c r="H319" s="721" t="s">
        <v>110</v>
      </c>
      <c r="I319" s="1649" t="str">
        <f t="shared" si="45"/>
        <v>Ja</v>
      </c>
      <c r="J319" s="1335" t="str">
        <f t="shared" si="46"/>
        <v>--</v>
      </c>
      <c r="M319" s="1160" t="s">
        <v>584</v>
      </c>
      <c r="N319" s="710">
        <v>527.6</v>
      </c>
      <c r="O319" s="1081"/>
      <c r="P319" s="1081"/>
      <c r="Q319" s="21"/>
      <c r="AF319" s="2340"/>
    </row>
    <row r="320" spans="1:32" ht="15.75" customHeight="1" x14ac:dyDescent="0.25">
      <c r="A320" s="282">
        <v>9</v>
      </c>
      <c r="B320" s="994" t="str">
        <f t="shared" si="42"/>
        <v>--</v>
      </c>
      <c r="C320" s="998" t="str">
        <f t="shared" si="43"/>
        <v>--</v>
      </c>
      <c r="D320" s="663" t="str">
        <f t="shared" si="43"/>
        <v>--</v>
      </c>
      <c r="E320" s="1020" t="str">
        <f t="shared" si="44"/>
        <v>--</v>
      </c>
      <c r="F320" s="1011" t="s">
        <v>635</v>
      </c>
      <c r="G320" s="1014">
        <v>0</v>
      </c>
      <c r="H320" s="721" t="s">
        <v>110</v>
      </c>
      <c r="I320" s="1649" t="str">
        <f t="shared" si="45"/>
        <v>Ja</v>
      </c>
      <c r="J320" s="1335" t="str">
        <f t="shared" si="46"/>
        <v>--</v>
      </c>
      <c r="M320" s="1157" t="s">
        <v>641</v>
      </c>
      <c r="N320" s="1073">
        <v>430.27</v>
      </c>
      <c r="O320" s="1081"/>
      <c r="P320" s="1081"/>
      <c r="AF320" s="2340"/>
    </row>
    <row r="321" spans="1:32" ht="15.75" thickBot="1" x14ac:dyDescent="0.3">
      <c r="A321" s="282">
        <v>10</v>
      </c>
      <c r="B321" s="994" t="str">
        <f t="shared" si="42"/>
        <v>--</v>
      </c>
      <c r="C321" s="998" t="str">
        <f t="shared" si="43"/>
        <v>--</v>
      </c>
      <c r="D321" s="663" t="str">
        <f t="shared" si="43"/>
        <v>--</v>
      </c>
      <c r="E321" s="1020" t="str">
        <f t="shared" si="44"/>
        <v>--</v>
      </c>
      <c r="F321" s="1011" t="s">
        <v>635</v>
      </c>
      <c r="G321" s="1014">
        <v>0</v>
      </c>
      <c r="H321" s="721" t="s">
        <v>110</v>
      </c>
      <c r="I321" s="1649" t="str">
        <f t="shared" si="45"/>
        <v>Ja</v>
      </c>
      <c r="J321" s="1335" t="str">
        <f t="shared" si="46"/>
        <v>--</v>
      </c>
      <c r="M321" s="1161" t="s">
        <v>644</v>
      </c>
      <c r="N321" s="1087">
        <v>192.83</v>
      </c>
      <c r="O321" s="1080"/>
      <c r="P321" s="1081"/>
      <c r="AF321" s="2340"/>
    </row>
    <row r="322" spans="1:32" ht="15" customHeight="1" thickBot="1" x14ac:dyDescent="0.3">
      <c r="A322" s="282">
        <v>11</v>
      </c>
      <c r="B322" s="994" t="str">
        <f t="shared" si="42"/>
        <v>--</v>
      </c>
      <c r="C322" s="998" t="str">
        <f t="shared" si="43"/>
        <v>--</v>
      </c>
      <c r="D322" s="663" t="str">
        <f t="shared" si="43"/>
        <v>--</v>
      </c>
      <c r="E322" s="1020" t="str">
        <f t="shared" si="44"/>
        <v>--</v>
      </c>
      <c r="F322" s="1011" t="s">
        <v>635</v>
      </c>
      <c r="G322" s="1014">
        <v>0</v>
      </c>
      <c r="H322" s="721" t="s">
        <v>110</v>
      </c>
      <c r="I322" s="1649" t="str">
        <f t="shared" si="45"/>
        <v>Ja</v>
      </c>
      <c r="J322" s="1335" t="str">
        <f t="shared" si="46"/>
        <v>--</v>
      </c>
      <c r="M322" s="1018" t="s">
        <v>619</v>
      </c>
      <c r="N322" s="1088">
        <f>SUM(N319:N321)</f>
        <v>1150.7</v>
      </c>
      <c r="O322" s="1081"/>
      <c r="P322" s="1081"/>
      <c r="AF322" s="2340"/>
    </row>
    <row r="323" spans="1:32" ht="15" customHeight="1" thickBot="1" x14ac:dyDescent="0.3">
      <c r="A323" s="576">
        <v>12</v>
      </c>
      <c r="B323" s="995" t="str">
        <f t="shared" si="42"/>
        <v>--</v>
      </c>
      <c r="C323" s="999" t="str">
        <f t="shared" si="43"/>
        <v>--</v>
      </c>
      <c r="D323" s="664" t="str">
        <f t="shared" si="43"/>
        <v>--</v>
      </c>
      <c r="E323" s="1021" t="str">
        <f t="shared" si="44"/>
        <v>--</v>
      </c>
      <c r="F323" s="1012" t="s">
        <v>635</v>
      </c>
      <c r="G323" s="1015">
        <v>0</v>
      </c>
      <c r="H323" s="1017" t="s">
        <v>110</v>
      </c>
      <c r="I323" s="1650" t="str">
        <f t="shared" si="45"/>
        <v>Ja</v>
      </c>
      <c r="J323" s="2076" t="str">
        <f t="shared" si="46"/>
        <v>--</v>
      </c>
      <c r="M323" s="1159" t="s">
        <v>658</v>
      </c>
      <c r="N323" s="1086">
        <v>0</v>
      </c>
      <c r="O323" s="1080" t="s">
        <v>684</v>
      </c>
      <c r="P323" s="1081"/>
      <c r="Q323" s="2"/>
      <c r="R323" s="2"/>
      <c r="AF323" s="2340"/>
    </row>
    <row r="324" spans="1:32" ht="15.75" customHeight="1" thickBot="1" x14ac:dyDescent="0.3">
      <c r="B324" s="21"/>
      <c r="D324" s="2"/>
      <c r="G324" s="2847" t="s">
        <v>650</v>
      </c>
      <c r="H324" s="2848"/>
      <c r="I324" s="1006">
        <f>DATE(YEAR($C$16),8,1)</f>
        <v>45139</v>
      </c>
      <c r="Q324" s="2"/>
      <c r="R324" s="2"/>
      <c r="AF324" s="2340"/>
    </row>
    <row r="325" spans="1:32" x14ac:dyDescent="0.25">
      <c r="G325" s="337" t="s">
        <v>655</v>
      </c>
      <c r="H325" s="20" t="s">
        <v>656</v>
      </c>
      <c r="AF325" s="2340"/>
    </row>
    <row r="326" spans="1:32" ht="15" customHeight="1" x14ac:dyDescent="0.25">
      <c r="G326" s="337" t="s">
        <v>653</v>
      </c>
      <c r="H326" s="20" t="s">
        <v>654</v>
      </c>
      <c r="AF326" s="2340"/>
    </row>
    <row r="327" spans="1:32" ht="15" customHeight="1" x14ac:dyDescent="0.25"/>
    <row r="328" spans="1:32" ht="15" customHeight="1" thickBot="1" x14ac:dyDescent="0.3">
      <c r="B328" s="451" t="s">
        <v>844</v>
      </c>
      <c r="C328" s="20" t="s">
        <v>131</v>
      </c>
      <c r="D328" s="2"/>
    </row>
    <row r="329" spans="1:32" ht="15.75" customHeight="1" thickBot="1" x14ac:dyDescent="0.3">
      <c r="B329" s="2849" t="s">
        <v>130</v>
      </c>
      <c r="C329" s="2850"/>
      <c r="D329" s="2850"/>
      <c r="E329" s="2851"/>
      <c r="F329" s="6" t="s">
        <v>55</v>
      </c>
      <c r="G329" s="6" t="s">
        <v>132</v>
      </c>
      <c r="H329" s="7" t="s">
        <v>56</v>
      </c>
    </row>
    <row r="330" spans="1:32" ht="15.75" thickBot="1" x14ac:dyDescent="0.3">
      <c r="B330" s="2865" t="s">
        <v>119</v>
      </c>
      <c r="C330" s="2866"/>
      <c r="D330" s="2866"/>
      <c r="E330" s="2866"/>
      <c r="F330" s="2866"/>
      <c r="G330" s="2866"/>
      <c r="H330" s="2867"/>
    </row>
    <row r="331" spans="1:32" ht="15.75" thickBot="1" x14ac:dyDescent="0.3">
      <c r="B331" s="2915" t="s">
        <v>120</v>
      </c>
      <c r="C331" s="2916"/>
      <c r="D331" s="2916"/>
      <c r="E331" s="2916"/>
      <c r="F331" s="2916"/>
      <c r="G331" s="2916"/>
      <c r="H331" s="2917"/>
    </row>
    <row r="332" spans="1:32" x14ac:dyDescent="0.25">
      <c r="B332" s="2852" t="s">
        <v>121</v>
      </c>
      <c r="C332" s="2853"/>
      <c r="D332" s="2853"/>
      <c r="E332" s="2854"/>
      <c r="F332" s="1524">
        <v>285.33999999999997</v>
      </c>
      <c r="G332" s="1525">
        <v>15.02</v>
      </c>
      <c r="H332" s="1517">
        <f>SUM(F332:G332)</f>
        <v>300.35999999999996</v>
      </c>
      <c r="I332" s="21"/>
    </row>
    <row r="333" spans="1:32" x14ac:dyDescent="0.25">
      <c r="B333" s="2909" t="s">
        <v>122</v>
      </c>
      <c r="C333" s="2910"/>
      <c r="D333" s="2910"/>
      <c r="E333" s="2911"/>
      <c r="F333" s="1526">
        <v>570.67999999999995</v>
      </c>
      <c r="G333" s="1527">
        <v>30.04</v>
      </c>
      <c r="H333" s="1515">
        <f>SUM(F333:G333)</f>
        <v>600.71999999999991</v>
      </c>
    </row>
    <row r="334" spans="1:32" ht="15.75" thickBot="1" x14ac:dyDescent="0.3">
      <c r="B334" s="2912" t="s">
        <v>123</v>
      </c>
      <c r="C334" s="2913"/>
      <c r="D334" s="2913"/>
      <c r="E334" s="2914"/>
      <c r="F334" s="1528">
        <v>1110.9000000000001</v>
      </c>
      <c r="G334" s="1529">
        <v>58.47</v>
      </c>
      <c r="H334" s="1518">
        <f>SUM(F334:G334)</f>
        <v>1169.3700000000001</v>
      </c>
    </row>
    <row r="335" spans="1:32" ht="15.75" thickBot="1" x14ac:dyDescent="0.3">
      <c r="B335" s="2918" t="s">
        <v>124</v>
      </c>
      <c r="C335" s="2919"/>
      <c r="D335" s="2919"/>
      <c r="E335" s="2919"/>
      <c r="F335" s="2919"/>
      <c r="G335" s="2919"/>
      <c r="H335" s="2920"/>
    </row>
    <row r="336" spans="1:32" x14ac:dyDescent="0.25">
      <c r="B336" s="2852" t="s">
        <v>125</v>
      </c>
      <c r="C336" s="2853"/>
      <c r="D336" s="2853"/>
      <c r="E336" s="2854"/>
      <c r="F336" s="1524">
        <v>285.33999999999997</v>
      </c>
      <c r="G336" s="1525">
        <v>15.02</v>
      </c>
      <c r="H336" s="1517">
        <f>SUM(F336:G336)</f>
        <v>300.35999999999996</v>
      </c>
    </row>
    <row r="337" spans="1:9" x14ac:dyDescent="0.25">
      <c r="B337" s="2909" t="s">
        <v>126</v>
      </c>
      <c r="C337" s="2910"/>
      <c r="D337" s="2910"/>
      <c r="E337" s="2911"/>
      <c r="F337" s="1526">
        <v>900.9</v>
      </c>
      <c r="G337" s="1527">
        <v>47.42</v>
      </c>
      <c r="H337" s="1515">
        <f>SUM(F337:G337)</f>
        <v>948.31999999999994</v>
      </c>
    </row>
    <row r="338" spans="1:9" ht="15.75" thickBot="1" x14ac:dyDescent="0.3">
      <c r="B338" s="2912" t="s">
        <v>127</v>
      </c>
      <c r="C338" s="2913"/>
      <c r="D338" s="2913"/>
      <c r="E338" s="2914"/>
      <c r="F338" s="1528">
        <v>1441.12</v>
      </c>
      <c r="G338" s="1529">
        <v>75.849999999999994</v>
      </c>
      <c r="H338" s="1518">
        <f>SUM(F338:G338)</f>
        <v>1516.9699999999998</v>
      </c>
    </row>
    <row r="339" spans="1:9" ht="15.75" thickBot="1" x14ac:dyDescent="0.3">
      <c r="B339" s="2921" t="s">
        <v>128</v>
      </c>
      <c r="C339" s="2922"/>
      <c r="D339" s="2922"/>
      <c r="E339" s="2922"/>
      <c r="F339" s="2922"/>
      <c r="G339" s="2922"/>
      <c r="H339" s="2923"/>
    </row>
    <row r="340" spans="1:9" x14ac:dyDescent="0.25">
      <c r="B340" s="2852" t="s">
        <v>612</v>
      </c>
      <c r="C340" s="2853"/>
      <c r="D340" s="2853"/>
      <c r="E340" s="2854"/>
      <c r="F340" s="1530">
        <v>1155.79</v>
      </c>
      <c r="G340" s="1531">
        <v>60.53</v>
      </c>
      <c r="H340" s="1514">
        <f>SUM(F340:G340)</f>
        <v>1216.32</v>
      </c>
    </row>
    <row r="341" spans="1:9" x14ac:dyDescent="0.25">
      <c r="B341" s="2909" t="s">
        <v>611</v>
      </c>
      <c r="C341" s="2910"/>
      <c r="D341" s="2910"/>
      <c r="E341" s="2911"/>
      <c r="F341" s="1530">
        <v>1155.79</v>
      </c>
      <c r="G341" s="1531">
        <v>60.53</v>
      </c>
      <c r="H341" s="1515">
        <f>SUM(F341:G341)</f>
        <v>1216.32</v>
      </c>
    </row>
    <row r="342" spans="1:9" ht="15.75" thickBot="1" x14ac:dyDescent="0.3">
      <c r="B342" s="2912" t="s">
        <v>610</v>
      </c>
      <c r="C342" s="2913"/>
      <c r="D342" s="2913"/>
      <c r="E342" s="2914"/>
      <c r="F342" s="1532">
        <v>1651.12</v>
      </c>
      <c r="G342" s="1533">
        <v>86.9</v>
      </c>
      <c r="H342" s="1516">
        <f>SUM(F342:G342)</f>
        <v>1738.02</v>
      </c>
      <c r="I342" s="21"/>
    </row>
    <row r="343" spans="1:9" ht="15.75" thickBot="1" x14ac:dyDescent="0.3">
      <c r="B343" s="2921" t="s">
        <v>129</v>
      </c>
      <c r="C343" s="2922"/>
      <c r="D343" s="2922"/>
      <c r="E343" s="2922"/>
      <c r="F343" s="2922"/>
      <c r="G343" s="2922"/>
      <c r="H343" s="2923"/>
    </row>
    <row r="344" spans="1:9" x14ac:dyDescent="0.25">
      <c r="B344" s="2852" t="s">
        <v>612</v>
      </c>
      <c r="C344" s="2853"/>
      <c r="D344" s="2853"/>
      <c r="E344" s="2854"/>
      <c r="F344" s="1542">
        <v>1289.78</v>
      </c>
      <c r="G344" s="1543">
        <v>67.88</v>
      </c>
      <c r="H344" s="1052">
        <f>SUM(F344:G344)</f>
        <v>1357.6599999999999</v>
      </c>
    </row>
    <row r="345" spans="1:9" x14ac:dyDescent="0.25">
      <c r="B345" s="2909" t="s">
        <v>611</v>
      </c>
      <c r="C345" s="2910"/>
      <c r="D345" s="2910"/>
      <c r="E345" s="2911"/>
      <c r="F345" s="1544">
        <v>1289.78</v>
      </c>
      <c r="G345" s="1545">
        <v>67.88</v>
      </c>
      <c r="H345" s="1053">
        <f>SUM(F345:G345)</f>
        <v>1357.6599999999999</v>
      </c>
    </row>
    <row r="346" spans="1:9" x14ac:dyDescent="0.25">
      <c r="B346" s="2909" t="s">
        <v>613</v>
      </c>
      <c r="C346" s="2910"/>
      <c r="D346" s="2910"/>
      <c r="E346" s="2911"/>
      <c r="F346" s="1534">
        <v>1751.42</v>
      </c>
      <c r="G346" s="1079">
        <v>92.18</v>
      </c>
      <c r="H346" s="1053">
        <f>SUM(F346:G346)</f>
        <v>1843.6000000000001</v>
      </c>
    </row>
    <row r="347" spans="1:9" ht="15.75" thickBot="1" x14ac:dyDescent="0.3">
      <c r="B347" s="2912" t="s">
        <v>614</v>
      </c>
      <c r="C347" s="2913"/>
      <c r="D347" s="2913"/>
      <c r="E347" s="2914"/>
      <c r="F347" s="1535">
        <v>1751.42</v>
      </c>
      <c r="G347" s="718">
        <v>92.18</v>
      </c>
      <c r="H347" s="1054">
        <f>SUM(F347:G347)</f>
        <v>1843.6000000000001</v>
      </c>
    </row>
    <row r="348" spans="1:9" x14ac:dyDescent="0.25">
      <c r="B348" s="709"/>
      <c r="C348" s="723"/>
      <c r="D348" s="723"/>
      <c r="E348" s="26"/>
      <c r="F348" s="26"/>
      <c r="G348" s="26"/>
      <c r="H348" s="26"/>
    </row>
    <row r="349" spans="1:9" ht="16.5" thickBot="1" x14ac:dyDescent="0.3">
      <c r="A349" s="3">
        <v>144</v>
      </c>
      <c r="B349" s="877" t="s">
        <v>1074</v>
      </c>
      <c r="C349" s="723"/>
      <c r="D349" s="723"/>
      <c r="E349" s="26"/>
      <c r="F349" s="26"/>
      <c r="G349" s="26"/>
      <c r="H349" s="26"/>
    </row>
    <row r="350" spans="1:9" ht="15.75" thickBot="1" x14ac:dyDescent="0.3">
      <c r="B350" s="724" t="str">
        <f>BGPartnerAP</f>
        <v>AP</v>
      </c>
      <c r="C350" s="723"/>
      <c r="D350" s="723"/>
      <c r="E350" s="26"/>
      <c r="F350" s="26"/>
      <c r="G350" s="26"/>
      <c r="H350" s="26"/>
    </row>
    <row r="351" spans="1:9" ht="15.75" thickBot="1" x14ac:dyDescent="0.3">
      <c r="B351" s="1182" t="s">
        <v>463</v>
      </c>
      <c r="C351" s="1176">
        <f>IF(AL94VerzInkomen_AP&lt;=0,0,AL94VerzInkomen_AP)</f>
        <v>0</v>
      </c>
      <c r="D351" s="726" t="s">
        <v>257</v>
      </c>
      <c r="E351" s="26"/>
      <c r="F351" s="26"/>
      <c r="G351" s="26"/>
      <c r="H351" s="26"/>
    </row>
    <row r="352" spans="1:9" ht="15.75" thickBot="1" x14ac:dyDescent="0.3">
      <c r="A352" s="818" t="s">
        <v>251</v>
      </c>
      <c r="B352" s="1183" t="s">
        <v>74</v>
      </c>
      <c r="C352" s="1184" t="s">
        <v>260</v>
      </c>
      <c r="D352" s="1185" t="s">
        <v>256</v>
      </c>
      <c r="E352" s="731" t="s">
        <v>262</v>
      </c>
      <c r="F352" s="731" t="s">
        <v>263</v>
      </c>
      <c r="G352" s="731" t="s">
        <v>212</v>
      </c>
      <c r="H352" s="732" t="s">
        <v>253</v>
      </c>
    </row>
    <row r="353" spans="1:10" x14ac:dyDescent="0.25">
      <c r="A353" s="794">
        <v>1</v>
      </c>
      <c r="B353" s="1180" t="s">
        <v>259</v>
      </c>
      <c r="C353" s="1177"/>
      <c r="D353" s="1178"/>
      <c r="E353" s="1179">
        <f ca="1">IF('Alimentatie 2023-02'!D295&lt;=0,0,'Alimentatie 2023-02'!D295*12)</f>
        <v>0</v>
      </c>
      <c r="F353" s="1177"/>
      <c r="G353" s="1180" t="s">
        <v>261</v>
      </c>
      <c r="H353" s="1181"/>
    </row>
    <row r="354" spans="1:10" x14ac:dyDescent="0.25">
      <c r="A354" s="795">
        <v>2</v>
      </c>
      <c r="B354" s="93" t="s">
        <v>254</v>
      </c>
      <c r="C354" s="737">
        <f>$M$32</f>
        <v>37149</v>
      </c>
      <c r="D354" s="1171"/>
      <c r="E354" s="738"/>
      <c r="F354" s="739"/>
      <c r="G354" s="1188" t="str">
        <f>IF(AND(C351&lt;=C354,C351&gt;0),"        Ga door naar:","")</f>
        <v/>
      </c>
      <c r="H354" s="740">
        <v>10</v>
      </c>
    </row>
    <row r="355" spans="1:10" ht="15.75" thickBot="1" x14ac:dyDescent="0.3">
      <c r="A355" s="796">
        <v>3</v>
      </c>
      <c r="B355" s="416" t="s">
        <v>255</v>
      </c>
      <c r="C355" s="737">
        <f>$M$17</f>
        <v>73031</v>
      </c>
      <c r="D355" s="1172"/>
      <c r="E355" s="741"/>
      <c r="F355" s="742"/>
      <c r="G355" s="1187" t="str">
        <f>IF(AND(C351&gt;C354,C351&lt;=C355),"        Ga door naar:","")</f>
        <v/>
      </c>
      <c r="H355" s="743">
        <v>7</v>
      </c>
    </row>
    <row r="356" spans="1:10" x14ac:dyDescent="0.25">
      <c r="A356" s="794">
        <v>4</v>
      </c>
      <c r="B356" s="1055" t="str">
        <f>CONCATENATE("Bereken [(BI) - € ",C355,"] x ",D356)</f>
        <v>Bereken [(BI) - € 73031] x 0,6295</v>
      </c>
      <c r="C356" s="744"/>
      <c r="D356" s="1536">
        <v>0.62949999999999995</v>
      </c>
      <c r="E356" s="660" t="str">
        <f>IF(C351&gt;C355,(C351-C355)*D356,"n.v.t")</f>
        <v>n.v.t</v>
      </c>
      <c r="F356" s="744"/>
      <c r="G356" s="745" t="s">
        <v>258</v>
      </c>
      <c r="H356" s="746"/>
      <c r="J356"/>
    </row>
    <row r="357" spans="1:10" x14ac:dyDescent="0.25">
      <c r="A357" s="795">
        <v>5</v>
      </c>
      <c r="B357" s="93" t="str">
        <f>CONCATENATE("Is (P) groter dan (NA)? Bereken dan (NA) x ",D357)</f>
        <v>Is (P) groter dan (NA)? Bereken dan (NA) x 1,589</v>
      </c>
      <c r="C357" s="738"/>
      <c r="D357" s="1537">
        <v>1.589</v>
      </c>
      <c r="E357" s="738"/>
      <c r="F357" s="751" t="str">
        <f>IF(C351&gt;C355,IF(E356&gt;E353,E353*D357,"Kleiner"),"n.v.t")</f>
        <v>n.v.t</v>
      </c>
      <c r="G357" s="1186" t="str">
        <f>IF(OR(F357="Kleiner",F357="n.v.t"),"+","+     Ga door naar:")</f>
        <v>+</v>
      </c>
      <c r="H357" s="748">
        <v>11</v>
      </c>
    </row>
    <row r="358" spans="1:10" x14ac:dyDescent="0.25">
      <c r="A358" s="795">
        <v>6</v>
      </c>
      <c r="B358" s="93" t="str">
        <f>CONCATENATE("Is (P) kleiner dan (NA)? Bereken (P) x ",D357)</f>
        <v>Is (P) kleiner dan (NA)? Bereken (P) x 1,589</v>
      </c>
      <c r="C358" s="738"/>
      <c r="D358" s="1171"/>
      <c r="E358" s="738"/>
      <c r="F358" s="751" t="str">
        <f>IF(F357="Kleiner",E356*D357,"n.v.t")</f>
        <v>n.v.t</v>
      </c>
      <c r="G358" s="747" t="s">
        <v>77</v>
      </c>
      <c r="H358" s="740"/>
    </row>
    <row r="359" spans="1:10" x14ac:dyDescent="0.25">
      <c r="A359" s="795"/>
      <c r="B359" s="749" t="s">
        <v>264</v>
      </c>
      <c r="C359" s="750"/>
      <c r="D359" s="1173"/>
      <c r="E359" s="751" t="str">
        <f>IF(OR(C351&gt;C355,LEFT(F357,7)="Kleiner"),E353-E356,"n.v.t")</f>
        <v>n.v.t</v>
      </c>
      <c r="F359" s="752"/>
      <c r="G359" s="750" t="s">
        <v>261</v>
      </c>
      <c r="H359" s="753"/>
    </row>
    <row r="360" spans="1:10" x14ac:dyDescent="0.25">
      <c r="A360" s="795"/>
      <c r="B360" s="754" t="s">
        <v>265</v>
      </c>
      <c r="C360" s="738"/>
      <c r="D360" s="1171"/>
      <c r="E360" s="739"/>
      <c r="F360" s="739"/>
      <c r="G360" s="738"/>
      <c r="H360" s="740"/>
    </row>
    <row r="361" spans="1:10" ht="18" thickBot="1" x14ac:dyDescent="0.3">
      <c r="A361" s="797"/>
      <c r="B361" s="755" t="str">
        <f>CONCATENATE("(BI) stellen we nu op € ",C355)</f>
        <v>(BI) stellen we nu op € 73031</v>
      </c>
      <c r="C361" s="756" t="s">
        <v>266</v>
      </c>
      <c r="D361" s="1174"/>
      <c r="E361" s="757"/>
      <c r="F361" s="757"/>
      <c r="G361" s="757"/>
      <c r="H361" s="758"/>
    </row>
    <row r="362" spans="1:10" x14ac:dyDescent="0.25">
      <c r="A362" s="794">
        <v>7</v>
      </c>
      <c r="B362" s="1055" t="str">
        <f>CONCATENATE("Bereken [(BI) - € ",C354,"] x ",D362)</f>
        <v>Bereken [(BI) - € 37149] x 0,631</v>
      </c>
      <c r="C362" s="735">
        <f>IF(F357="n.v.t",0,IF(LEFT(F357,7)="Kleiner",C355,0))</f>
        <v>0</v>
      </c>
      <c r="D362" s="1536">
        <v>0.63100000000000001</v>
      </c>
      <c r="E362" s="660" t="str">
        <f>IF(C362=C355,(C355-C354)*D362,IF(AND(C351&lt;=C355,C351&gt;C354),(C351-C354)*D362,"n.v.t"))</f>
        <v>n.v.t</v>
      </c>
      <c r="F362" s="759"/>
      <c r="G362" s="744" t="s">
        <v>258</v>
      </c>
      <c r="H362" s="746"/>
    </row>
    <row r="363" spans="1:10" x14ac:dyDescent="0.25">
      <c r="A363" s="795">
        <v>8</v>
      </c>
      <c r="B363" s="93" t="str">
        <f>CONCATENATE("Is (P) groter dan (NA)? Bereken dan (NA) x ",D363)</f>
        <v>Is (P) groter dan (NA)? Bereken dan (NA) x 1,586</v>
      </c>
      <c r="C363" s="738"/>
      <c r="D363" s="1537">
        <v>1.5860000000000001</v>
      </c>
      <c r="E363" s="739"/>
      <c r="F363" s="751" t="str">
        <f>IF(C351&lt;=C354,"n.v.t",IF(AND(C362=C355,E362&gt;E359),E359*D363,IF(AND(C362=0,E362&gt;E353),E353*D363,"Kleiner")))</f>
        <v>n.v.t</v>
      </c>
      <c r="G363" s="1186" t="str">
        <f>IF(OR(F363="Kleiner",F363="n.v.t"),"+","+     Ga door naar:")</f>
        <v>+</v>
      </c>
      <c r="H363" s="740">
        <v>11</v>
      </c>
    </row>
    <row r="364" spans="1:10" x14ac:dyDescent="0.25">
      <c r="A364" s="795">
        <v>9</v>
      </c>
      <c r="B364" s="93" t="str">
        <f>CONCATENATE("Is (P) kleiner dan (NA)? Bereken (P) x ",D363)</f>
        <v>Is (P) kleiner dan (NA)? Bereken (P) x 1,586</v>
      </c>
      <c r="C364" s="722"/>
      <c r="D364" s="1175"/>
      <c r="E364" s="738"/>
      <c r="F364" s="751" t="str">
        <f>IF(F363="Kleiner",E362*D363,"n.v.t")</f>
        <v>n.v.t</v>
      </c>
      <c r="G364" s="747" t="s">
        <v>77</v>
      </c>
      <c r="H364" s="740"/>
    </row>
    <row r="365" spans="1:10" x14ac:dyDescent="0.25">
      <c r="A365" s="795"/>
      <c r="B365" s="749" t="s">
        <v>264</v>
      </c>
      <c r="C365" s="750"/>
      <c r="D365" s="1173"/>
      <c r="E365" s="751" t="str">
        <f>IF(AND(C362=C355,F363="Kleiner"),(E359-E362),IF(AND(C351&lt;=C355,C351&gt;C354,F363="Kleiner"),E353-E362,"n.v.t"))</f>
        <v>n.v.t</v>
      </c>
      <c r="F365" s="752"/>
      <c r="G365" s="750" t="s">
        <v>261</v>
      </c>
      <c r="H365" s="753"/>
    </row>
    <row r="366" spans="1:10" ht="15.75" thickBot="1" x14ac:dyDescent="0.3">
      <c r="A366" s="795"/>
      <c r="B366" s="754" t="s">
        <v>252</v>
      </c>
      <c r="C366" s="738"/>
      <c r="D366" s="1171"/>
      <c r="E366" s="739"/>
      <c r="F366" s="739"/>
      <c r="G366" s="738"/>
      <c r="H366" s="740"/>
    </row>
    <row r="367" spans="1:10" x14ac:dyDescent="0.25">
      <c r="A367" s="794">
        <v>10</v>
      </c>
      <c r="B367" s="1055" t="str">
        <f>CONCATENATE("Bereken (NA) x ",D367)</f>
        <v>Bereken (NA) x 1,586</v>
      </c>
      <c r="C367" s="744"/>
      <c r="D367" s="1536">
        <v>1.5860000000000001</v>
      </c>
      <c r="E367" s="759"/>
      <c r="F367" s="660">
        <f ca="1">IF(BGAOWLeeftijdBereikt_AP="Nee",IF(C351&lt;=C354,E353*D367,IF(E365="n.v.t","n.v.t",E365*D367)),IF(C351&lt;=C354,E353*D369,IF(E365="n.v.t","n.v.t",E365*D369)))</f>
        <v>0</v>
      </c>
      <c r="G367" s="744"/>
      <c r="H367" s="746"/>
    </row>
    <row r="368" spans="1:10" x14ac:dyDescent="0.25">
      <c r="A368" s="795"/>
      <c r="B368" s="760" t="s">
        <v>1031</v>
      </c>
      <c r="C368" s="738"/>
      <c r="D368" s="1171"/>
      <c r="E368" s="739"/>
      <c r="F368" s="738"/>
      <c r="G368" s="738"/>
      <c r="H368" s="740"/>
    </row>
    <row r="369" spans="1:8" ht="15.75" thickBot="1" x14ac:dyDescent="0.3">
      <c r="A369" s="797"/>
      <c r="B369" s="329" t="str">
        <f>CONCATENATE("Bereken (NA) x ",D369)</f>
        <v>Bereken (NA) x 1,235</v>
      </c>
      <c r="C369" s="761"/>
      <c r="D369" s="1541">
        <v>1.2350000000000001</v>
      </c>
      <c r="E369" s="761"/>
      <c r="F369" s="761"/>
      <c r="G369" s="761"/>
      <c r="H369" s="762"/>
    </row>
    <row r="370" spans="1:8" ht="16.5" thickBot="1" x14ac:dyDescent="0.3">
      <c r="A370" s="117">
        <v>144</v>
      </c>
      <c r="B370" s="2906" t="s">
        <v>332</v>
      </c>
      <c r="C370" s="2907"/>
      <c r="D370" s="2907"/>
      <c r="E370" s="2908"/>
      <c r="F370" s="763">
        <f ca="1">IF(LEFT('Alimentatie 2023-02'!D302,2)="Ja","Zie 145/146",SUM(F353:F369))</f>
        <v>0</v>
      </c>
      <c r="G370" s="764"/>
      <c r="H370" s="765"/>
    </row>
    <row r="371" spans="1:8" x14ac:dyDescent="0.25">
      <c r="B371" s="709"/>
      <c r="C371" s="723"/>
      <c r="D371" s="723"/>
      <c r="E371" s="26"/>
      <c r="F371" s="766"/>
      <c r="G371" s="26"/>
      <c r="H371" s="26"/>
    </row>
    <row r="372" spans="1:8" ht="16.5" thickBot="1" x14ac:dyDescent="0.3">
      <c r="B372" s="877" t="s">
        <v>1074</v>
      </c>
      <c r="C372" s="723"/>
      <c r="D372" s="723"/>
      <c r="E372" s="26"/>
      <c r="F372" s="26"/>
      <c r="G372" s="26"/>
      <c r="H372" s="26"/>
    </row>
    <row r="373" spans="1:8" ht="15.75" thickBot="1" x14ac:dyDescent="0.3">
      <c r="A373" s="3">
        <v>144</v>
      </c>
      <c r="B373" s="724" t="str">
        <f>BGPartnerAG</f>
        <v>AG</v>
      </c>
      <c r="C373" s="723"/>
      <c r="D373" s="723"/>
      <c r="E373" s="26"/>
      <c r="F373" s="26"/>
      <c r="G373" s="26"/>
      <c r="H373" s="26"/>
    </row>
    <row r="374" spans="1:8" ht="15.75" thickBot="1" x14ac:dyDescent="0.3">
      <c r="B374" s="1043" t="s">
        <v>463</v>
      </c>
      <c r="C374" s="725">
        <f>IF(AL94VerzInkomen_AG&lt;=0,0,AL94VerzInkomen_AG)</f>
        <v>0</v>
      </c>
      <c r="D374" s="726" t="s">
        <v>257</v>
      </c>
      <c r="E374" s="26"/>
      <c r="F374" s="26"/>
      <c r="G374" s="26"/>
      <c r="H374" s="26"/>
    </row>
    <row r="375" spans="1:8" ht="15.75" thickBot="1" x14ac:dyDescent="0.3">
      <c r="A375" s="5" t="s">
        <v>251</v>
      </c>
      <c r="B375" s="727" t="s">
        <v>74</v>
      </c>
      <c r="C375" s="728" t="s">
        <v>260</v>
      </c>
      <c r="D375" s="729" t="s">
        <v>256</v>
      </c>
      <c r="E375" s="730" t="s">
        <v>262</v>
      </c>
      <c r="F375" s="731" t="s">
        <v>263</v>
      </c>
      <c r="G375" s="731" t="s">
        <v>212</v>
      </c>
      <c r="H375" s="732" t="s">
        <v>253</v>
      </c>
    </row>
    <row r="376" spans="1:8" x14ac:dyDescent="0.25">
      <c r="A376" s="67">
        <v>1</v>
      </c>
      <c r="B376" s="733" t="s">
        <v>259</v>
      </c>
      <c r="C376" s="734"/>
      <c r="D376" s="1170"/>
      <c r="E376" s="735">
        <f ca="1">IF('Alimentatie 2023-02'!F295&lt;=0,0,'Alimentatie 2023-02'!F295*12)</f>
        <v>0</v>
      </c>
      <c r="F376" s="734"/>
      <c r="G376" s="733" t="s">
        <v>261</v>
      </c>
      <c r="H376" s="736"/>
    </row>
    <row r="377" spans="1:8" x14ac:dyDescent="0.25">
      <c r="A377" s="29">
        <v>2</v>
      </c>
      <c r="B377" s="93" t="s">
        <v>254</v>
      </c>
      <c r="C377" s="737">
        <f>$M$32-1</f>
        <v>37148</v>
      </c>
      <c r="D377" s="1171"/>
      <c r="E377" s="738"/>
      <c r="F377" s="739"/>
      <c r="G377" s="1188" t="str">
        <f>IF(AND(C374&lt;=C377,C374&gt;0),"        Ga door naar:","")</f>
        <v/>
      </c>
      <c r="H377" s="740">
        <v>10</v>
      </c>
    </row>
    <row r="378" spans="1:8" ht="15.75" thickBot="1" x14ac:dyDescent="0.3">
      <c r="A378" s="172">
        <v>3</v>
      </c>
      <c r="B378" s="416" t="s">
        <v>255</v>
      </c>
      <c r="C378" s="737">
        <f>$M$17-1</f>
        <v>73030</v>
      </c>
      <c r="D378" s="1172"/>
      <c r="E378" s="741"/>
      <c r="F378" s="742"/>
      <c r="G378" s="1187" t="str">
        <f>IF(AND(C374&gt;C377,C374&lt;=C378),"        Ga door naar:","")</f>
        <v/>
      </c>
      <c r="H378" s="743">
        <v>7</v>
      </c>
    </row>
    <row r="379" spans="1:8" x14ac:dyDescent="0.25">
      <c r="A379" s="67">
        <v>4</v>
      </c>
      <c r="B379" s="1055" t="str">
        <f>CONCATENATE("Bereken [(BI) - € ",C378,"] x ",D379)</f>
        <v>Bereken [(BI) - € 73030] x 0,6295</v>
      </c>
      <c r="C379" s="744"/>
      <c r="D379" s="1538">
        <f>D356</f>
        <v>0.62949999999999995</v>
      </c>
      <c r="E379" s="660" t="str">
        <f>IF(C374&gt;C378,(C374-C378)*D379,"n.v.t")</f>
        <v>n.v.t</v>
      </c>
      <c r="F379" s="744"/>
      <c r="G379" s="745" t="s">
        <v>258</v>
      </c>
      <c r="H379" s="746"/>
    </row>
    <row r="380" spans="1:8" x14ac:dyDescent="0.25">
      <c r="A380" s="29">
        <v>5</v>
      </c>
      <c r="B380" s="93" t="str">
        <f>CONCATENATE("Is (P) groter dan (NA)? Bereken dan (NA) x ",D380)</f>
        <v>Is (P) groter dan (NA)? Bereken dan (NA) x 1,589</v>
      </c>
      <c r="C380" s="738"/>
      <c r="D380" s="1539">
        <f>D357</f>
        <v>1.589</v>
      </c>
      <c r="E380" s="738"/>
      <c r="F380" s="751" t="str">
        <f>IF(C374&gt;C378,IF(E379&gt;E376,E376*D380,"Kleiner"),"n.v.t")</f>
        <v>n.v.t</v>
      </c>
      <c r="G380" s="1186" t="str">
        <f>IF(OR(F380="Kleiner",F380="n.v.t"),"+","+     Ga door naar:")</f>
        <v>+</v>
      </c>
      <c r="H380" s="748">
        <v>11</v>
      </c>
    </row>
    <row r="381" spans="1:8" x14ac:dyDescent="0.25">
      <c r="A381" s="29">
        <v>6</v>
      </c>
      <c r="B381" s="93" t="str">
        <f>CONCATENATE("Bereken (P) x ",D380)</f>
        <v>Bereken (P) x 1,589</v>
      </c>
      <c r="C381" s="738"/>
      <c r="D381" s="1171"/>
      <c r="E381" s="738"/>
      <c r="F381" s="751" t="str">
        <f>IF(F380="Kleiner",E379*D380,"n.v.t")</f>
        <v>n.v.t</v>
      </c>
      <c r="G381" s="747" t="s">
        <v>77</v>
      </c>
      <c r="H381" s="740"/>
    </row>
    <row r="382" spans="1:8" x14ac:dyDescent="0.25">
      <c r="A382" s="29"/>
      <c r="B382" s="749" t="s">
        <v>264</v>
      </c>
      <c r="C382" s="750"/>
      <c r="D382" s="1173"/>
      <c r="E382" s="751" t="str">
        <f>IF(OR(C374&gt;C378,LEFT(F380,7)="Kleiner"),E376-E379,"n.v.t")</f>
        <v>n.v.t</v>
      </c>
      <c r="F382" s="752"/>
      <c r="G382" s="750" t="s">
        <v>261</v>
      </c>
      <c r="H382" s="753"/>
    </row>
    <row r="383" spans="1:8" x14ac:dyDescent="0.25">
      <c r="A383" s="29"/>
      <c r="B383" s="878" t="s">
        <v>265</v>
      </c>
      <c r="C383" s="738"/>
      <c r="D383" s="1171"/>
      <c r="E383" s="739"/>
      <c r="F383" s="739"/>
      <c r="G383" s="738"/>
      <c r="H383" s="740"/>
    </row>
    <row r="384" spans="1:8" ht="18" thickBot="1" x14ac:dyDescent="0.3">
      <c r="A384" s="31"/>
      <c r="B384" s="879" t="str">
        <f>CONCATENATE("(BI) stellen we nu op € ",C378)</f>
        <v>(BI) stellen we nu op € 73030</v>
      </c>
      <c r="C384" s="756" t="s">
        <v>266</v>
      </c>
      <c r="D384" s="1174"/>
      <c r="E384" s="757"/>
      <c r="F384" s="757"/>
      <c r="G384" s="757"/>
      <c r="H384" s="758"/>
    </row>
    <row r="385" spans="1:8" x14ac:dyDescent="0.25">
      <c r="A385" s="67">
        <v>7</v>
      </c>
      <c r="B385" s="1055" t="str">
        <f>CONCATENATE("Bereken [(BI) - € ",C377,"] x ",D385)</f>
        <v>Bereken [(BI) - € 37148] x 0,631</v>
      </c>
      <c r="C385" s="735">
        <f>IF(F380="n.v.t",0,IF(LEFT(F380,7)="Kleiner",C378,0))</f>
        <v>0</v>
      </c>
      <c r="D385" s="1538">
        <f>D362</f>
        <v>0.63100000000000001</v>
      </c>
      <c r="E385" s="660" t="str">
        <f>IF(C385=C378,(C378-C377)*D385,IF(AND(C374&lt;=C378,C374&gt;C377),(C374-C377)*D385,"n.v.t"))</f>
        <v>n.v.t</v>
      </c>
      <c r="F385" s="759"/>
      <c r="G385" s="744" t="s">
        <v>258</v>
      </c>
      <c r="H385" s="746"/>
    </row>
    <row r="386" spans="1:8" x14ac:dyDescent="0.25">
      <c r="A386" s="29">
        <v>8</v>
      </c>
      <c r="B386" s="93" t="str">
        <f>CONCATENATE("Is (P) groter dan (NA) bereken dan (NA) x ",D386)</f>
        <v>Is (P) groter dan (NA) bereken dan (NA) x 1,586</v>
      </c>
      <c r="C386" s="738"/>
      <c r="D386" s="1539">
        <f>D363</f>
        <v>1.5860000000000001</v>
      </c>
      <c r="E386" s="739"/>
      <c r="F386" s="751" t="str">
        <f>IF(C374&lt;=C377,"n.v.t",IF(AND(C385=C378,E385&gt;E382),E382*D386,IF(AND(C385=0,E385&gt;E376),E376*D386,"Kleiner")))</f>
        <v>n.v.t</v>
      </c>
      <c r="G386" s="1186" t="str">
        <f>IF(OR(F386="Kleiner",F386="n.v.t"),"+","+     Ga door naar:")</f>
        <v>+</v>
      </c>
      <c r="H386" s="740">
        <v>11</v>
      </c>
    </row>
    <row r="387" spans="1:8" x14ac:dyDescent="0.25">
      <c r="A387" s="29">
        <v>9</v>
      </c>
      <c r="B387" s="93" t="str">
        <f>CONCATENATE("Bereken (P) x ",D386)</f>
        <v>Bereken (P) x 1,586</v>
      </c>
      <c r="C387" s="722"/>
      <c r="D387" s="1175"/>
      <c r="E387" s="738"/>
      <c r="F387" s="751" t="str">
        <f>IF(F386="Kleiner",E385*D386,"n.v.t")</f>
        <v>n.v.t</v>
      </c>
      <c r="G387" s="747" t="s">
        <v>77</v>
      </c>
      <c r="H387" s="740"/>
    </row>
    <row r="388" spans="1:8" x14ac:dyDescent="0.25">
      <c r="A388" s="29"/>
      <c r="B388" s="749" t="s">
        <v>264</v>
      </c>
      <c r="C388" s="750"/>
      <c r="D388" s="1173"/>
      <c r="E388" s="751" t="str">
        <f>IF(AND(C385=C378,F386="Kleiner"),(E382-E385),IF(AND(C374&lt;=C378,C374&gt;C377,F386="Kleiner"),E376-E385,"n.v.t"))</f>
        <v>n.v.t</v>
      </c>
      <c r="F388" s="752"/>
      <c r="G388" s="750" t="s">
        <v>261</v>
      </c>
      <c r="H388" s="753"/>
    </row>
    <row r="389" spans="1:8" ht="15.75" thickBot="1" x14ac:dyDescent="0.3">
      <c r="A389" s="29"/>
      <c r="B389" s="878" t="s">
        <v>252</v>
      </c>
      <c r="C389" s="738"/>
      <c r="D389" s="1171"/>
      <c r="E389" s="739"/>
      <c r="F389" s="739"/>
      <c r="G389" s="738"/>
      <c r="H389" s="740"/>
    </row>
    <row r="390" spans="1:8" x14ac:dyDescent="0.25">
      <c r="A390" s="67">
        <v>10</v>
      </c>
      <c r="B390" s="1055" t="str">
        <f>CONCATENATE("Bereken (NA) x ",D390)</f>
        <v>Bereken (NA) x 1,586</v>
      </c>
      <c r="C390" s="744"/>
      <c r="D390" s="1538">
        <f>D367</f>
        <v>1.5860000000000001</v>
      </c>
      <c r="E390" s="759"/>
      <c r="F390" s="660">
        <f ca="1">IF(BGAOWLeeftijdBereikt_AG="Nee",IF(C374&lt;=C377,E376*D390,IF(E388="n.v.t","n.v.t",E388*D390)),IF(C374&lt;=C377,E376*D392,IF(E388="n.v.t","n.v.t",E388*D392)))</f>
        <v>0</v>
      </c>
      <c r="G390" s="744"/>
      <c r="H390" s="746"/>
    </row>
    <row r="391" spans="1:8" x14ac:dyDescent="0.25">
      <c r="A391" s="29"/>
      <c r="B391" s="760" t="s">
        <v>1031</v>
      </c>
      <c r="C391" s="738"/>
      <c r="D391" s="1171"/>
      <c r="E391" s="739"/>
      <c r="F391" s="738"/>
      <c r="G391" s="738"/>
      <c r="H391" s="740"/>
    </row>
    <row r="392" spans="1:8" ht="15.75" thickBot="1" x14ac:dyDescent="0.3">
      <c r="A392" s="31"/>
      <c r="B392" s="329" t="str">
        <f>CONCATENATE("Bereken (NA) x ",D392)</f>
        <v>Bereken (NA) x 1,235</v>
      </c>
      <c r="C392" s="761"/>
      <c r="D392" s="1540">
        <f>D369</f>
        <v>1.2350000000000001</v>
      </c>
      <c r="E392" s="761"/>
      <c r="F392" s="761"/>
      <c r="G392" s="761"/>
      <c r="H392" s="762"/>
    </row>
    <row r="393" spans="1:8" ht="15.75" thickBot="1" x14ac:dyDescent="0.3">
      <c r="A393" s="117">
        <v>144</v>
      </c>
      <c r="B393" s="2906" t="s">
        <v>332</v>
      </c>
      <c r="C393" s="2907"/>
      <c r="D393" s="2907"/>
      <c r="E393" s="2908"/>
      <c r="F393" s="764">
        <f ca="1">IF(LEFT('Alimentatie 2023-02'!F302,2)="Ja","Zie 145/146",SUM(F376:F392))</f>
        <v>0</v>
      </c>
      <c r="G393" s="764"/>
      <c r="H393" s="765"/>
    </row>
  </sheetData>
  <sheetProtection algorithmName="SHA-512" hashValue="6lZ/2PyTysEqnA4WHnxpZCw+98yfXscU9YKtQ6IdMVXhUkikfllZDy3UTlpce4q7pgp6rAg1FKuH9RVSM3GUYQ==" saltValue="oYFkBp1hNBLKJCwk5T1VWg==" spinCount="100000" sheet="1" objects="1" scenarios="1"/>
  <protectedRanges>
    <protectedRange sqref="Q59:R59" name="Regel 059 115 Alleenstaande ouderenkorting"/>
    <protectedRange sqref="Q75:R75" name="Regel 075 115 Combinatiekorting"/>
    <protectedRange sqref="C280:D281 C286:D286 C288:C289 F312:H323 E291 B295:J306" name="Regel 280 Gegevens kinderen en KGB"/>
    <protectedRange sqref="C240:D240 C242:D242" name="Regel 240 123 Huurkosten"/>
    <protectedRange sqref="C227:D227" name="Regel 227 137 Draagkrachtpercentage"/>
    <protectedRange sqref="E200 E203 F201 F204" name="Regel 200 138 Hypotheekrente"/>
    <protectedRange sqref="D144:E145 D149:E150 D155:E159" name="Regel 144 071 tm 073 Ondernemerskosten"/>
    <protectedRange sqref="C25 C27:C28 E25 E27:E28" name="Regel 025 Bijtelling auto"/>
    <protectedRange sqref="C135 C137:C138 C140 E135 E137:E138 E140" name="Regel 135 050 Bruto pensioen uitkering"/>
    <protectedRange sqref="C126 E126 C128:C129 E128:E129 C132 E132" name="Regel 126 043 Soc. verzekeringswetten"/>
    <protectedRange sqref="C117 C119:C120 C122:C123 E117 E119:E120 E122:E123" name="Regel 117 042 AOW uitkering"/>
    <protectedRange sqref="C77:C78 D81 E77:E78 F81" name="Regel 077 045 Inkomen Bouw"/>
    <protectedRange sqref="C33:C35 E33:E35" name="Regel 033 060 Jaarloon"/>
    <protectedRange sqref="C16 C20:C21" name="Regel 016 Berekeningsgegevens"/>
    <protectedRange sqref="C7:D9 C4:D5" name="Regel 007 012 Algemene gegevens"/>
    <protectedRange sqref="C38 E38 C40:C42 E40:E42 C54 E54 C56:C58 E56:E58 C44:C50 C60:C66 E60:E66 C129 E129 E44:E50" name="Regel 038 041 Inkomsten uit arbeid"/>
    <protectedRange sqref="C85:C88 C96:C99 E85:E88 E96:E99 C90:C92 E90:E92 C101:C103 E101:E103" name="Regel 085 049 tm 58 1e en 2e dienstbetrekking"/>
    <protectedRange sqref="C172:C175 C177 F172:F175 F177 C185:C188 C190 F185:F188 F190" name="Regel 172 082 tm 084 Eigen woning"/>
    <protectedRange sqref="C207 E207 C209:C210 E209:E210" name="Regel 207 119a Bijstandsuitkering"/>
    <protectedRange sqref="E165" name="Regel 165 OEW"/>
    <protectedRange sqref="P165:P166" name="Regel 165 OEW Verlater"/>
    <protectedRange sqref="P170:P175" name="Regel 170 OEW Hypotheek"/>
    <protectedRange sqref="E195" name="Regel 195 Woonvergoeding"/>
    <protectedRange sqref="C11:C12" name="Regel 011_012 Nieuwe Partner AP"/>
  </protectedRanges>
  <sortState xmlns:xlrd2="http://schemas.microsoft.com/office/spreadsheetml/2017/richdata2" ref="E291:E299">
    <sortCondition ref="E124:E131"/>
  </sortState>
  <mergeCells count="304">
    <mergeCell ref="Q294:Q298"/>
    <mergeCell ref="L302:M302"/>
    <mergeCell ref="F275:J275"/>
    <mergeCell ref="E273:J273"/>
    <mergeCell ref="N151:N152"/>
    <mergeCell ref="M212:N212"/>
    <mergeCell ref="M130:P130"/>
    <mergeCell ref="O133:P133"/>
    <mergeCell ref="O151:O152"/>
    <mergeCell ref="O142:P142"/>
    <mergeCell ref="F169:F171"/>
    <mergeCell ref="M151:M152"/>
    <mergeCell ref="L299:M299"/>
    <mergeCell ref="N293:O293"/>
    <mergeCell ref="L292:N292"/>
    <mergeCell ref="M202:M203"/>
    <mergeCell ref="N202:N203"/>
    <mergeCell ref="D289:I289"/>
    <mergeCell ref="E169:E171"/>
    <mergeCell ref="B202:D202"/>
    <mergeCell ref="G199:J199"/>
    <mergeCell ref="G200:J204"/>
    <mergeCell ref="F236:J236"/>
    <mergeCell ref="F239:J239"/>
    <mergeCell ref="B194:D194"/>
    <mergeCell ref="B203:D203"/>
    <mergeCell ref="B199:D199"/>
    <mergeCell ref="B195:D195"/>
    <mergeCell ref="E181:F181"/>
    <mergeCell ref="G171:J177"/>
    <mergeCell ref="B393:E393"/>
    <mergeCell ref="B346:E346"/>
    <mergeCell ref="B344:E344"/>
    <mergeCell ref="B334:E334"/>
    <mergeCell ref="B336:E336"/>
    <mergeCell ref="B337:E337"/>
    <mergeCell ref="B331:H331"/>
    <mergeCell ref="B335:H335"/>
    <mergeCell ref="B342:E342"/>
    <mergeCell ref="B370:E370"/>
    <mergeCell ref="B347:E347"/>
    <mergeCell ref="B345:E345"/>
    <mergeCell ref="B338:E338"/>
    <mergeCell ref="B343:H343"/>
    <mergeCell ref="B341:E341"/>
    <mergeCell ref="B339:H339"/>
    <mergeCell ref="B340:E340"/>
    <mergeCell ref="B333:E333"/>
    <mergeCell ref="B189:C189"/>
    <mergeCell ref="C293:D293"/>
    <mergeCell ref="F149:J149"/>
    <mergeCell ref="G102:J102"/>
    <mergeCell ref="G103:J103"/>
    <mergeCell ref="E287:I287"/>
    <mergeCell ref="C310:D310"/>
    <mergeCell ref="G209:J209"/>
    <mergeCell ref="F234:J234"/>
    <mergeCell ref="F195:I196"/>
    <mergeCell ref="G138:J138"/>
    <mergeCell ref="B204:D204"/>
    <mergeCell ref="B151:C151"/>
    <mergeCell ref="F182:F184"/>
    <mergeCell ref="E182:E184"/>
    <mergeCell ref="F148:J148"/>
    <mergeCell ref="B176:C176"/>
    <mergeCell ref="B201:D201"/>
    <mergeCell ref="B165:D165"/>
    <mergeCell ref="B160:C160"/>
    <mergeCell ref="F233:J233"/>
    <mergeCell ref="B200:D200"/>
    <mergeCell ref="F232:J232"/>
    <mergeCell ref="G210:J210"/>
    <mergeCell ref="G324:H324"/>
    <mergeCell ref="G310:G311"/>
    <mergeCell ref="B329:E329"/>
    <mergeCell ref="B332:E332"/>
    <mergeCell ref="J310:J311"/>
    <mergeCell ref="F241:J241"/>
    <mergeCell ref="E282:I282"/>
    <mergeCell ref="D288:I288"/>
    <mergeCell ref="F280:I281"/>
    <mergeCell ref="H310:H311"/>
    <mergeCell ref="B330:H330"/>
    <mergeCell ref="E267:J267"/>
    <mergeCell ref="E270:J270"/>
    <mergeCell ref="G309:J309"/>
    <mergeCell ref="F286:I286"/>
    <mergeCell ref="H292:H294"/>
    <mergeCell ref="I292:I294"/>
    <mergeCell ref="J292:J294"/>
    <mergeCell ref="H291:J291"/>
    <mergeCell ref="I310:I311"/>
    <mergeCell ref="E272:J272"/>
    <mergeCell ref="F293:F294"/>
    <mergeCell ref="B291:D291"/>
    <mergeCell ref="M138:P138"/>
    <mergeCell ref="G76:J76"/>
    <mergeCell ref="O56:P56"/>
    <mergeCell ref="T132:U132"/>
    <mergeCell ref="T113:U113"/>
    <mergeCell ref="G99:J99"/>
    <mergeCell ref="G89:J89"/>
    <mergeCell ref="G90:J90"/>
    <mergeCell ref="G91:J91"/>
    <mergeCell ref="G92:J92"/>
    <mergeCell ref="G72:J72"/>
    <mergeCell ref="G59:J59"/>
    <mergeCell ref="G60:J60"/>
    <mergeCell ref="G63:J63"/>
    <mergeCell ref="G66:J66"/>
    <mergeCell ref="G61:J61"/>
    <mergeCell ref="G62:J62"/>
    <mergeCell ref="G112:J112"/>
    <mergeCell ref="G86:J86"/>
    <mergeCell ref="G87:J87"/>
    <mergeCell ref="C80:J80"/>
    <mergeCell ref="G136:J136"/>
    <mergeCell ref="G111:J111"/>
    <mergeCell ref="G88:J88"/>
    <mergeCell ref="F155:J159"/>
    <mergeCell ref="F150:J150"/>
    <mergeCell ref="G118:J118"/>
    <mergeCell ref="E271:J271"/>
    <mergeCell ref="E274:J274"/>
    <mergeCell ref="G123:J123"/>
    <mergeCell ref="F154:J154"/>
    <mergeCell ref="G129:J129"/>
    <mergeCell ref="F143:J143"/>
    <mergeCell ref="F144:J144"/>
    <mergeCell ref="G119:J119"/>
    <mergeCell ref="G120:J120"/>
    <mergeCell ref="G127:J127"/>
    <mergeCell ref="G128:J128"/>
    <mergeCell ref="G137:J137"/>
    <mergeCell ref="G130:J130"/>
    <mergeCell ref="E268:J268"/>
    <mergeCell ref="E269:J269"/>
    <mergeCell ref="G242:J242"/>
    <mergeCell ref="F145:J145"/>
    <mergeCell ref="F235:J235"/>
    <mergeCell ref="F240:J240"/>
    <mergeCell ref="E168:F168"/>
    <mergeCell ref="G208:J208"/>
    <mergeCell ref="G70:J70"/>
    <mergeCell ref="G71:J71"/>
    <mergeCell ref="G122:J122"/>
    <mergeCell ref="G109:J109"/>
    <mergeCell ref="G110:J110"/>
    <mergeCell ref="G113:J113"/>
    <mergeCell ref="G114:J114"/>
    <mergeCell ref="G46:J46"/>
    <mergeCell ref="G47:J47"/>
    <mergeCell ref="G50:J50"/>
    <mergeCell ref="G81:J81"/>
    <mergeCell ref="G106:J106"/>
    <mergeCell ref="G107:J107"/>
    <mergeCell ref="G84:J84"/>
    <mergeCell ref="G108:J108"/>
    <mergeCell ref="G95:J95"/>
    <mergeCell ref="G96:J96"/>
    <mergeCell ref="G101:J101"/>
    <mergeCell ref="G85:J85"/>
    <mergeCell ref="G97:J97"/>
    <mergeCell ref="G98:J98"/>
    <mergeCell ref="G77:J79"/>
    <mergeCell ref="G57:J57"/>
    <mergeCell ref="G100:J100"/>
    <mergeCell ref="D15:J15"/>
    <mergeCell ref="D16:J16"/>
    <mergeCell ref="D17:J17"/>
    <mergeCell ref="D19:J19"/>
    <mergeCell ref="N8:P8"/>
    <mergeCell ref="N9:P9"/>
    <mergeCell ref="D20:J20"/>
    <mergeCell ref="C22:D22"/>
    <mergeCell ref="E6:J6"/>
    <mergeCell ref="E7:J7"/>
    <mergeCell ref="E8:J8"/>
    <mergeCell ref="E10:J10"/>
    <mergeCell ref="E11:J12"/>
    <mergeCell ref="C13:J13"/>
    <mergeCell ref="E3:J3"/>
    <mergeCell ref="E4:J4"/>
    <mergeCell ref="E9:F9"/>
    <mergeCell ref="G9:J9"/>
    <mergeCell ref="E5:J5"/>
    <mergeCell ref="D21:J21"/>
    <mergeCell ref="X21:X22"/>
    <mergeCell ref="O58:P58"/>
    <mergeCell ref="L5:M5"/>
    <mergeCell ref="O55:P55"/>
    <mergeCell ref="V6:V7"/>
    <mergeCell ref="W6:W7"/>
    <mergeCell ref="V14:V15"/>
    <mergeCell ref="W14:W15"/>
    <mergeCell ref="R7:S7"/>
    <mergeCell ref="R8:S8"/>
    <mergeCell ref="R10:S10"/>
    <mergeCell ref="T6:T7"/>
    <mergeCell ref="U6:U7"/>
    <mergeCell ref="X36:X37"/>
    <mergeCell ref="O18:P18"/>
    <mergeCell ref="G32:J32"/>
    <mergeCell ref="G26:J26"/>
    <mergeCell ref="G27:J27"/>
    <mergeCell ref="W104:W105"/>
    <mergeCell ref="T94:U94"/>
    <mergeCell ref="T104:U104"/>
    <mergeCell ref="T21:T22"/>
    <mergeCell ref="T96:U96"/>
    <mergeCell ref="W95:W96"/>
    <mergeCell ref="T105:U105"/>
    <mergeCell ref="T87:U87"/>
    <mergeCell ref="T29:T30"/>
    <mergeCell ref="V21:V22"/>
    <mergeCell ref="W21:W22"/>
    <mergeCell ref="V29:V30"/>
    <mergeCell ref="W29:W30"/>
    <mergeCell ref="V36:V37"/>
    <mergeCell ref="W36:W37"/>
    <mergeCell ref="T36:T37"/>
    <mergeCell ref="U36:U37"/>
    <mergeCell ref="U21:U22"/>
    <mergeCell ref="U29:U30"/>
    <mergeCell ref="V2:W2"/>
    <mergeCell ref="T14:T15"/>
    <mergeCell ref="P5:Q5"/>
    <mergeCell ref="P6:Q6"/>
    <mergeCell ref="L6:M6"/>
    <mergeCell ref="U14:U15"/>
    <mergeCell ref="R9:S9"/>
    <mergeCell ref="N10:P10"/>
    <mergeCell ref="L4:M4"/>
    <mergeCell ref="P4:Q4"/>
    <mergeCell ref="N7:P7"/>
    <mergeCell ref="G64:J64"/>
    <mergeCell ref="G65:J65"/>
    <mergeCell ref="G55:J55"/>
    <mergeCell ref="O52:P52"/>
    <mergeCell ref="O34:P34"/>
    <mergeCell ref="G39:J39"/>
    <mergeCell ref="G40:J40"/>
    <mergeCell ref="G41:J41"/>
    <mergeCell ref="G42:J42"/>
    <mergeCell ref="G43:J43"/>
    <mergeCell ref="G44:J44"/>
    <mergeCell ref="G45:J45"/>
    <mergeCell ref="G33:J34"/>
    <mergeCell ref="M63:S63"/>
    <mergeCell ref="G56:J56"/>
    <mergeCell ref="G58:J58"/>
    <mergeCell ref="G49:J49"/>
    <mergeCell ref="G48:J48"/>
    <mergeCell ref="M60:S60"/>
    <mergeCell ref="M62:S62"/>
    <mergeCell ref="G52:J53"/>
    <mergeCell ref="O26:P26"/>
    <mergeCell ref="G28:J28"/>
    <mergeCell ref="Y36:Y37"/>
    <mergeCell ref="T78:U78"/>
    <mergeCell ref="X95:X96"/>
    <mergeCell ref="X104:X105"/>
    <mergeCell ref="M148:S148"/>
    <mergeCell ref="M147:P147"/>
    <mergeCell ref="O114:P114"/>
    <mergeCell ref="M121:P121"/>
    <mergeCell ref="M101:P101"/>
    <mergeCell ref="M111:R111"/>
    <mergeCell ref="O96:P96"/>
    <mergeCell ref="M139:R139"/>
    <mergeCell ref="M102:R102"/>
    <mergeCell ref="M84:P84"/>
    <mergeCell ref="M75:P75"/>
    <mergeCell ref="M76:S76"/>
    <mergeCell ref="M92:P92"/>
    <mergeCell ref="M110:P110"/>
    <mergeCell ref="M66:S66"/>
    <mergeCell ref="O57:P57"/>
    <mergeCell ref="M61:S61"/>
    <mergeCell ref="M59:P59"/>
    <mergeCell ref="Z36:Z37"/>
    <mergeCell ref="AA36:AA37"/>
    <mergeCell ref="Y95:Z95"/>
    <mergeCell ref="Y94:Z94"/>
    <mergeCell ref="Y104:Z104"/>
    <mergeCell ref="Y105:Z105"/>
    <mergeCell ref="Z2:AA2"/>
    <mergeCell ref="Z6:Z7"/>
    <mergeCell ref="AA6:AA7"/>
    <mergeCell ref="Z14:Z15"/>
    <mergeCell ref="AA14:AA15"/>
    <mergeCell ref="Z21:Z22"/>
    <mergeCell ref="AA21:AA22"/>
    <mergeCell ref="Z29:Z30"/>
    <mergeCell ref="AA29:AA30"/>
    <mergeCell ref="X2:Y2"/>
    <mergeCell ref="Y21:Y22"/>
    <mergeCell ref="X29:X30"/>
    <mergeCell ref="Y29:Y30"/>
    <mergeCell ref="X14:X15"/>
    <mergeCell ref="Y14:Y15"/>
    <mergeCell ref="X6:X7"/>
    <mergeCell ref="Y6:Y7"/>
    <mergeCell ref="X3:Y3"/>
  </mergeCells>
  <conditionalFormatting sqref="C7">
    <cfRule type="expression" dxfId="119" priority="2949">
      <formula>AND(D$33+$D$35+$D$73&lt;&gt;0,$C$7="Nee")</formula>
    </cfRule>
    <cfRule type="expression" dxfId="118" priority="2948">
      <formula>AND($D$33+$C$35+$D$73=0,$C$7="Ja")</formula>
    </cfRule>
  </conditionalFormatting>
  <conditionalFormatting sqref="C16">
    <cfRule type="expression" dxfId="114" priority="2954">
      <formula>YEAR($C$16)&lt;_xlfn.NUMBERVALUE(LEFT(C22,4),",",".")</formula>
    </cfRule>
    <cfRule type="expression" dxfId="113" priority="2953">
      <formula>YEAR($C$16)&gt;_xlfn.NUMBERVALUE(LEFT(C22,4),",",".")</formula>
    </cfRule>
  </conditionalFormatting>
  <conditionalFormatting sqref="C20">
    <cfRule type="expression" dxfId="112" priority="2739">
      <formula>AND(TRIM($C$20)&lt;&gt;"",$C$20&gt;$C$17)</formula>
    </cfRule>
    <cfRule type="expression" dxfId="111" priority="2738">
      <formula>AND(TRIM($C$20)&lt;&gt;"",$C$20=$C$17)</formula>
    </cfRule>
  </conditionalFormatting>
  <conditionalFormatting sqref="C21">
    <cfRule type="expression" dxfId="110" priority="77">
      <formula>AND(TRIM($C$20)="",$C$21&lt;&gt;0)</formula>
    </cfRule>
  </conditionalFormatting>
  <conditionalFormatting sqref="C26">
    <cfRule type="cellIs" dxfId="109" priority="148" operator="equal">
      <formula>"Anders"</formula>
    </cfRule>
  </conditionalFormatting>
  <conditionalFormatting sqref="C39">
    <cfRule type="cellIs" dxfId="108" priority="98" operator="equal">
      <formula>"Anders"</formula>
    </cfRule>
  </conditionalFormatting>
  <conditionalFormatting sqref="C45">
    <cfRule type="expression" dxfId="107" priority="69">
      <formula>AND($C$49&lt;&gt;0,$C$45&lt;&gt;0)</formula>
    </cfRule>
  </conditionalFormatting>
  <conditionalFormatting sqref="C48">
    <cfRule type="expression" dxfId="106" priority="70">
      <formula>AND($C$49&lt;&gt;0,$C$48&lt;&gt;0)</formula>
    </cfRule>
  </conditionalFormatting>
  <conditionalFormatting sqref="C50">
    <cfRule type="expression" dxfId="105" priority="34">
      <formula>AND($C$50&lt;&gt;0,$C$49=0)</formula>
    </cfRule>
  </conditionalFormatting>
  <conditionalFormatting sqref="C55">
    <cfRule type="cellIs" dxfId="104" priority="93" operator="equal">
      <formula>"Anders"</formula>
    </cfRule>
  </conditionalFormatting>
  <conditionalFormatting sqref="C61">
    <cfRule type="expression" dxfId="103" priority="66">
      <formula>AND($C$65&lt;&gt;0,$C$61&lt;&gt;0)</formula>
    </cfRule>
  </conditionalFormatting>
  <conditionalFormatting sqref="C64">
    <cfRule type="expression" dxfId="102" priority="65">
      <formula>AND($C$65&lt;&gt;0,$C$64&lt;&gt;0)</formula>
    </cfRule>
  </conditionalFormatting>
  <conditionalFormatting sqref="C66">
    <cfRule type="expression" dxfId="101" priority="32">
      <formula>AND($C$66&lt;&gt;0,$C$65=0)</formula>
    </cfRule>
  </conditionalFormatting>
  <conditionalFormatting sqref="C118">
    <cfRule type="cellIs" dxfId="100" priority="154" operator="equal">
      <formula>"Anders"</formula>
    </cfRule>
  </conditionalFormatting>
  <conditionalFormatting sqref="C127">
    <cfRule type="cellIs" dxfId="99" priority="156" operator="equal">
      <formula>"Anders"</formula>
    </cfRule>
  </conditionalFormatting>
  <conditionalFormatting sqref="C136">
    <cfRule type="cellIs" dxfId="98" priority="150" operator="equal">
      <formula>"Anders"</formula>
    </cfRule>
  </conditionalFormatting>
  <conditionalFormatting sqref="C172">
    <cfRule type="expression" dxfId="97" priority="13">
      <formula>AND($C$172=0,SUM($C$173:$C$175)&gt;0)</formula>
    </cfRule>
  </conditionalFormatting>
  <conditionalFormatting sqref="C185">
    <cfRule type="expression" dxfId="96" priority="12">
      <formula>AND($C$185=0,SUM($C$186:$C$190)&gt;0)</formula>
    </cfRule>
  </conditionalFormatting>
  <conditionalFormatting sqref="C208">
    <cfRule type="cellIs" dxfId="95" priority="171" operator="equal">
      <formula>"Anders"</formula>
    </cfRule>
  </conditionalFormatting>
  <conditionalFormatting sqref="C288">
    <cfRule type="expression" dxfId="94" priority="2737">
      <formula>AND($C$20&gt;=$C$17,$C$288="Ja")</formula>
    </cfRule>
  </conditionalFormatting>
  <conditionalFormatting sqref="C9:D10">
    <cfRule type="cellIs" dxfId="93" priority="2955" operator="lessThanOrEqual">
      <formula>$C$17</formula>
    </cfRule>
  </conditionalFormatting>
  <conditionalFormatting sqref="C235:D235">
    <cfRule type="cellIs" dxfId="92" priority="957" operator="greaterThan">
      <formula>$E$235</formula>
    </cfRule>
  </conditionalFormatting>
  <conditionalFormatting sqref="C295:D306">
    <cfRule type="expression" dxfId="91" priority="1832">
      <formula>AND($B295&lt;&gt;"",$E295&lt;&gt;"",SUM($C295:$G295)=0,$E312&lt;18)</formula>
    </cfRule>
    <cfRule type="expression" dxfId="90" priority="1831">
      <formula>AND($C295=1,$D295=1)</formula>
    </cfRule>
    <cfRule type="expression" dxfId="89" priority="80">
      <formula>AND($C295=0,$D295=0,$E295&gt;0)</formula>
    </cfRule>
  </conditionalFormatting>
  <conditionalFormatting sqref="C298:D301">
    <cfRule type="expression" dxfId="88" priority="1833">
      <formula>AND($B298&lt;&gt;"",$E298&lt;&gt;"",SUM($C298:$G298)=0,$E315&lt;18)</formula>
    </cfRule>
  </conditionalFormatting>
  <conditionalFormatting sqref="C312:D323">
    <cfRule type="cellIs" dxfId="87" priority="26" operator="equal">
      <formula>"Ja"</formula>
    </cfRule>
    <cfRule type="cellIs" dxfId="86" priority="24" operator="equal">
      <formula>"???"</formula>
    </cfRule>
    <cfRule type="cellIs" dxfId="85" priority="25" operator="equal">
      <formula>"Nee"</formula>
    </cfRule>
  </conditionalFormatting>
  <conditionalFormatting sqref="D7">
    <cfRule type="expression" dxfId="84" priority="2956">
      <formula>AND($E$33+$E$35+$F$73&lt;&gt;0,$D$7="Nee")</formula>
    </cfRule>
    <cfRule type="expression" dxfId="83" priority="2957">
      <formula>AND($E$33+$E$35+$F$73=0,$D$7="Ja")</formula>
    </cfRule>
  </conditionalFormatting>
  <conditionalFormatting sqref="D8">
    <cfRule type="expression" dxfId="82" priority="2958">
      <formula>AND($F$73&lt;&gt;0,$D$8="Ja")</formula>
    </cfRule>
  </conditionalFormatting>
  <conditionalFormatting sqref="D50">
    <cfRule type="expression" dxfId="79" priority="55">
      <formula>($D$66*-1)&gt;$D$65</formula>
    </cfRule>
  </conditionalFormatting>
  <conditionalFormatting sqref="D66">
    <cfRule type="expression" dxfId="78" priority="62">
      <formula>($D$66*-1)&gt;$D$65</formula>
    </cfRule>
  </conditionalFormatting>
  <conditionalFormatting sqref="D81">
    <cfRule type="expression" dxfId="77" priority="126">
      <formula>AND($D$81&gt;0,$D$81&lt;$D$79)</formula>
    </cfRule>
  </conditionalFormatting>
  <conditionalFormatting sqref="D145:E145">
    <cfRule type="expression" dxfId="76" priority="2961">
      <formula>AND(D$144="Nee",D$145="Ja")</formula>
    </cfRule>
  </conditionalFormatting>
  <conditionalFormatting sqref="E26">
    <cfRule type="cellIs" dxfId="75" priority="147" operator="equal">
      <formula>"Anders"</formula>
    </cfRule>
  </conditionalFormatting>
  <conditionalFormatting sqref="E39">
    <cfRule type="cellIs" dxfId="74" priority="94" operator="equal">
      <formula>"Anders"</formula>
    </cfRule>
  </conditionalFormatting>
  <conditionalFormatting sqref="E45">
    <cfRule type="expression" dxfId="73" priority="68">
      <formula>AND($E$49&lt;&gt;0,$E$45&lt;&gt;0)</formula>
    </cfRule>
  </conditionalFormatting>
  <conditionalFormatting sqref="E48">
    <cfRule type="expression" dxfId="72" priority="30">
      <formula>AND($C$49&lt;&gt;0,$C$48&lt;&gt;0)</formula>
    </cfRule>
  </conditionalFormatting>
  <conditionalFormatting sqref="E50">
    <cfRule type="expression" dxfId="71" priority="33">
      <formula>AND($E$50&lt;&gt;0,$E$49=0)</formula>
    </cfRule>
  </conditionalFormatting>
  <conditionalFormatting sqref="E55">
    <cfRule type="cellIs" dxfId="70" priority="92" operator="equal">
      <formula>"Anders"</formula>
    </cfRule>
  </conditionalFormatting>
  <conditionalFormatting sqref="E61">
    <cfRule type="expression" dxfId="69" priority="63">
      <formula>AND($E$65&lt;&gt;0,$E$61&lt;&gt;0)</formula>
    </cfRule>
  </conditionalFormatting>
  <conditionalFormatting sqref="E64">
    <cfRule type="expression" dxfId="68" priority="64">
      <formula>AND($E$65&lt;&gt;0,$E$64&lt;&gt;0)</formula>
    </cfRule>
  </conditionalFormatting>
  <conditionalFormatting sqref="E66">
    <cfRule type="expression" dxfId="67" priority="31">
      <formula>AND($E$66&lt;&gt;0,$E$65=0)</formula>
    </cfRule>
  </conditionalFormatting>
  <conditionalFormatting sqref="E118">
    <cfRule type="cellIs" dxfId="66" priority="153" operator="equal">
      <formula>"Anders"</formula>
    </cfRule>
  </conditionalFormatting>
  <conditionalFormatting sqref="E127">
    <cfRule type="cellIs" dxfId="65" priority="155" operator="equal">
      <formula>"Anders"</formula>
    </cfRule>
  </conditionalFormatting>
  <conditionalFormatting sqref="E136">
    <cfRule type="cellIs" dxfId="64" priority="149" operator="equal">
      <formula>"Anders"</formula>
    </cfRule>
  </conditionalFormatting>
  <conditionalFormatting sqref="E173">
    <cfRule type="cellIs" dxfId="63" priority="194" operator="lessThan">
      <formula>0</formula>
    </cfRule>
    <cfRule type="cellIs" dxfId="62" priority="193" operator="greaterThan">
      <formula>$C$173</formula>
    </cfRule>
    <cfRule type="cellIs" dxfId="61" priority="17" stopIfTrue="1" operator="equal">
      <formula>"Zie OEW"</formula>
    </cfRule>
  </conditionalFormatting>
  <conditionalFormatting sqref="E174">
    <cfRule type="expression" dxfId="60" priority="191">
      <formula>AND($E$174&lt;&gt;"Zie OEW",$E$174&gt;$C$174)</formula>
    </cfRule>
  </conditionalFormatting>
  <conditionalFormatting sqref="E175">
    <cfRule type="cellIs" dxfId="59" priority="185" operator="greaterThan">
      <formula>$C$175</formula>
    </cfRule>
  </conditionalFormatting>
  <conditionalFormatting sqref="E175:E177">
    <cfRule type="cellIs" dxfId="58" priority="186" operator="lessThan">
      <formula>0</formula>
    </cfRule>
  </conditionalFormatting>
  <conditionalFormatting sqref="E176">
    <cfRule type="cellIs" dxfId="57" priority="212" operator="greaterThan">
      <formula>$D$176</formula>
    </cfRule>
  </conditionalFormatting>
  <conditionalFormatting sqref="E177 E190">
    <cfRule type="cellIs" dxfId="56" priority="213" operator="greaterThan">
      <formula>$C$177</formula>
    </cfRule>
  </conditionalFormatting>
  <conditionalFormatting sqref="E177">
    <cfRule type="cellIs" dxfId="55" priority="18" stopIfTrue="1" operator="equal">
      <formula>"Zie OEW"</formula>
    </cfRule>
  </conditionalFormatting>
  <conditionalFormatting sqref="E186">
    <cfRule type="cellIs" dxfId="54" priority="112" operator="greaterThan">
      <formula>$C$186</formula>
    </cfRule>
  </conditionalFormatting>
  <conditionalFormatting sqref="E186:E190">
    <cfRule type="cellIs" dxfId="53" priority="109" operator="lessThan">
      <formula>0</formula>
    </cfRule>
  </conditionalFormatting>
  <conditionalFormatting sqref="E187">
    <cfRule type="cellIs" dxfId="52" priority="110" operator="greaterThan">
      <formula>$C$187</formula>
    </cfRule>
  </conditionalFormatting>
  <conditionalFormatting sqref="E188">
    <cfRule type="cellIs" dxfId="51" priority="108" operator="greaterThan">
      <formula>$C$188</formula>
    </cfRule>
  </conditionalFormatting>
  <conditionalFormatting sqref="E189">
    <cfRule type="cellIs" dxfId="50" priority="115" operator="greaterThan">
      <formula>$D$189</formula>
    </cfRule>
  </conditionalFormatting>
  <conditionalFormatting sqref="E195">
    <cfRule type="expression" dxfId="49" priority="14">
      <formula>AND($E$165="Nee",$E$195&lt;&gt;0)</formula>
    </cfRule>
    <cfRule type="expression" dxfId="48" priority="2735">
      <formula>AND($E$195&lt;&gt;0,#REF!&lt;&gt;0)</formula>
    </cfRule>
  </conditionalFormatting>
  <conditionalFormatting sqref="E200">
    <cfRule type="expression" dxfId="47" priority="41">
      <formula>AND(BGOEWRekenModule="Ja",$E$200&lt;&gt;0)</formula>
    </cfRule>
  </conditionalFormatting>
  <conditionalFormatting sqref="E203">
    <cfRule type="expression" dxfId="46" priority="40">
      <formula>AND(BGOEWRekenModule="Ja",$E$203&lt;&gt;0)</formula>
    </cfRule>
  </conditionalFormatting>
  <conditionalFormatting sqref="E208">
    <cfRule type="cellIs" dxfId="45" priority="170" operator="equal">
      <formula>"Anders"</formula>
    </cfRule>
  </conditionalFormatting>
  <conditionalFormatting sqref="E291">
    <cfRule type="expression" dxfId="44" priority="1">
      <formula>AND($C$20&gt;=$C$17,$C$288="Ja")</formula>
    </cfRule>
  </conditionalFormatting>
  <conditionalFormatting sqref="F50">
    <cfRule type="expression" dxfId="43" priority="58">
      <formula>($F$50*-1)&gt;$F$49</formula>
    </cfRule>
  </conditionalFormatting>
  <conditionalFormatting sqref="F66">
    <cfRule type="expression" dxfId="42" priority="56">
      <formula>($F$50*-1)&gt;$F$49</formula>
    </cfRule>
  </conditionalFormatting>
  <conditionalFormatting sqref="F81:F82">
    <cfRule type="expression" dxfId="41" priority="125">
      <formula>AND($F$81&gt;0,$F$81&lt;$F$79)</formula>
    </cfRule>
  </conditionalFormatting>
  <conditionalFormatting sqref="F172">
    <cfRule type="expression" dxfId="40" priority="43">
      <formula>AND(BGOEWRekenModule="Ja",$F$172&lt;&gt;0)</formula>
    </cfRule>
  </conditionalFormatting>
  <conditionalFormatting sqref="F173">
    <cfRule type="expression" dxfId="39" priority="16">
      <formula>AND(BGOEWRekenModule="Ja",$F$173&lt;&gt;0)</formula>
    </cfRule>
  </conditionalFormatting>
  <conditionalFormatting sqref="F174">
    <cfRule type="expression" dxfId="38" priority="42">
      <formula>AND(BGOEWRekenModule="Ja",$F$174&lt;&gt;0)</formula>
    </cfRule>
  </conditionalFormatting>
  <conditionalFormatting sqref="F177">
    <cfRule type="expression" dxfId="37" priority="15">
      <formula>AND(BGOEWRekenModule="Ja",$F$177&lt;&gt;0)</formula>
    </cfRule>
  </conditionalFormatting>
  <conditionalFormatting sqref="F201">
    <cfRule type="expression" dxfId="36" priority="39">
      <formula>AND(BGOEWRekenModule="Ja",$F$201&lt;&gt;0)</formula>
    </cfRule>
  </conditionalFormatting>
  <conditionalFormatting sqref="F204">
    <cfRule type="expression" dxfId="35" priority="38">
      <formula>AND(BGOEWRekenModule="Ja",$F$204&lt;&gt;0)</formula>
    </cfRule>
  </conditionalFormatting>
  <conditionalFormatting sqref="F312:F323">
    <cfRule type="expression" dxfId="34" priority="21">
      <formula>AND($E312&lt;16,LEFT($F312,6)="HBO/WO")</formula>
    </cfRule>
    <cfRule type="expression" priority="20" stopIfTrue="1">
      <formula>AND($E312&gt;=16,LEFT($F312,3)="MBO")</formula>
    </cfRule>
    <cfRule type="expression" dxfId="33" priority="1816">
      <formula>AND($E312&lt;16,$F312&lt;&gt;"Behoeftetabel")</formula>
    </cfRule>
  </conditionalFormatting>
  <conditionalFormatting sqref="G312:G323">
    <cfRule type="expression" dxfId="32" priority="23">
      <formula>AND($G312=0,RIGHT($F312,8)="Berekend")</formula>
    </cfRule>
    <cfRule type="expression" dxfId="31" priority="1818">
      <formula>AND(RIGHT($F312,8)="Berekend",$E312&lt;16)</formula>
    </cfRule>
    <cfRule type="expression" dxfId="30" priority="1817">
      <formula>AND($G312&lt;&gt;0,RIGHT($F312,8)&lt;&gt;"Berekend",RIGHT($F312,14)&lt;&gt;"Zelfvoorzienend")</formula>
    </cfRule>
  </conditionalFormatting>
  <conditionalFormatting sqref="H295:H306">
    <cfRule type="expression" dxfId="29" priority="1836">
      <formula>AND($H295&lt;&gt;0,$I312&lt;&gt;"Ja")</formula>
    </cfRule>
  </conditionalFormatting>
  <conditionalFormatting sqref="H312:H323">
    <cfRule type="expression" dxfId="28" priority="85">
      <formula>AND($F312&lt;&gt;"HBO/WO",$H312&lt;&gt;"Nee")</formula>
    </cfRule>
  </conditionalFormatting>
  <conditionalFormatting sqref="I295:I306">
    <cfRule type="expression" dxfId="27" priority="1835">
      <formula>AND($I295&lt;&gt;0,AND(LEFT($F312,3)&lt;&gt;"MBO", LEFT($F312,3)&lt;&gt;"HBO"))</formula>
    </cfRule>
  </conditionalFormatting>
  <conditionalFormatting sqref="P165:P166 P170:P173 P175">
    <cfRule type="expression" dxfId="26" priority="2962">
      <formula>AND($E$165="Ja",$P165="")</formula>
    </cfRule>
  </conditionalFormatting>
  <conditionalFormatting sqref="P174">
    <cfRule type="expression" dxfId="25" priority="2965">
      <formula>AND($E$165="Ja",$P$166="Ja",$P$174=0)</formula>
    </cfRule>
  </conditionalFormatting>
  <conditionalFormatting sqref="Q59 E165">
    <cfRule type="expression" dxfId="24" priority="205">
      <formula>AND($Q$57&gt;$Q$58,$Q$59="Ja")</formula>
    </cfRule>
  </conditionalFormatting>
  <conditionalFormatting sqref="Q75">
    <cfRule type="expression" dxfId="23" priority="2896">
      <formula>AND($Q$75="Ja",$N$299=0)</formula>
    </cfRule>
  </conditionalFormatting>
  <conditionalFormatting sqref="R59">
    <cfRule type="expression" dxfId="22" priority="204">
      <formula>AND($R$57&gt;$R$58,$R$59="Ja")</formula>
    </cfRule>
  </conditionalFormatting>
  <conditionalFormatting sqref="R75">
    <cfRule type="expression" dxfId="21" priority="2897">
      <formula>AND($R$75="Ja",$O$299=0)</formula>
    </cfRule>
  </conditionalFormatting>
  <conditionalFormatting sqref="T179:T180">
    <cfRule type="cellIs" dxfId="20" priority="44" operator="equal">
      <formula>-0.5</formula>
    </cfRule>
    <cfRule type="cellIs" dxfId="19" priority="45" operator="equal">
      <formula>50%</formula>
    </cfRule>
  </conditionalFormatting>
  <conditionalFormatting sqref="T182:AE193">
    <cfRule type="cellIs" dxfId="18" priority="3" operator="equal">
      <formula>50%</formula>
    </cfRule>
    <cfRule type="cellIs" dxfId="17" priority="2" operator="equal">
      <formula>-0.5</formula>
    </cfRule>
  </conditionalFormatting>
  <dataValidations xWindow="380" yWindow="881" count="1">
    <dataValidation type="whole" allowBlank="1" showInputMessage="1" showErrorMessage="1" promptTitle="Aantal invullen" prompt="Vul een 0 of een 1 in" sqref="C295:D306" xr:uid="{868750B0-1750-417E-A1B6-71FA4E5CFFA5}">
      <formula1>0</formula1>
      <formula2>1</formula2>
    </dataValidation>
  </dataValidations>
  <hyperlinks>
    <hyperlink ref="P14" r:id="rId1" xr:uid="{00000000-0004-0000-0000-000000000000}"/>
    <hyperlink ref="O54" r:id="rId2" xr:uid="{00000000-0004-0000-0000-000003000000}"/>
    <hyperlink ref="N132" r:id="rId3" xr:uid="{00000000-0004-0000-0000-000005000000}"/>
    <hyperlink ref="P20" r:id="rId4" xr:uid="{00000000-0004-0000-0000-000007000000}"/>
    <hyperlink ref="P28" r:id="rId5" xr:uid="{00000000-0004-0000-0000-000008000000}"/>
    <hyperlink ref="O150" r:id="rId6" xr:uid="{00000000-0004-0000-0000-000004000000}"/>
    <hyperlink ref="P36" r:id="rId7" xr:uid="{00000000-0004-0000-0000-000009000000}"/>
    <hyperlink ref="O201" r:id="rId8" xr:uid="{85B0F502-A1A8-42CE-8E0D-14B72C54E7A0}"/>
    <hyperlink ref="C328" r:id="rId9" xr:uid="{00000000-0004-0000-0000-000001000000}"/>
    <hyperlink ref="E270" r:id="rId10" xr:uid="{00000000-0004-0000-0000-000006000000}"/>
    <hyperlink ref="D219" r:id="rId11" display="https://www.belastingdienst.nl/wps/wcm/connect/bldcontentnl/belastingdienst/prive/vermogen_en_aanmerkelijk_belang/vermogen/wat_zijn_uw_bezittingen_en_schulden/uw_schulden/drempel" xr:uid="{00000000-0004-0000-0000-00000C000000}"/>
    <hyperlink ref="F275" r:id="rId12" xr:uid="{00000000-0004-0000-0000-000010000000}"/>
    <hyperlink ref="D220" r:id="rId13" xr:uid="{831F20BF-4AEF-4C93-84AE-843F39FB5D5C}"/>
    <hyperlink ref="G242" r:id="rId14" xr:uid="{00000000-0004-0000-0000-000011000000}"/>
    <hyperlink ref="E287" r:id="rId15" display="https://www.belastingdienst.nl/rekenhulpen/toeslagen/" xr:uid="{52CE9EE6-74A6-4D37-ACA7-3B3658E3ED9F}"/>
    <hyperlink ref="E282" r:id="rId16" display="https://www.belastingdienst.nl/rekenhulpen/toeslagen/" xr:uid="{36378316-69C0-4336-B0F4-8D1717CE868C}"/>
    <hyperlink ref="H326" r:id="rId17" xr:uid="{17739179-EA78-4BA3-A173-3799F821035D}"/>
    <hyperlink ref="H325" r:id="rId18" xr:uid="{7AE1882D-6651-471D-BC39-51D4FA80E5D9}"/>
    <hyperlink ref="D216" r:id="rId19" xr:uid="{162EDCCF-BD1A-4562-991C-B9A1618BC059}"/>
    <hyperlink ref="O94" r:id="rId20" xr:uid="{DBE99C40-7CA9-4A8C-BAA9-BA39974A3CAC}"/>
    <hyperlink ref="N114" r:id="rId21" xr:uid="{D43A3483-6E4E-4250-9C67-30294D221773}"/>
    <hyperlink ref="N123" r:id="rId22" xr:uid="{FDA6D82A-3217-4874-A140-3D8ACE1B544D}"/>
    <hyperlink ref="G9" r:id="rId23" xr:uid="{00000000-0004-0000-0000-000012000000}"/>
    <hyperlink ref="E273:J273" r:id="rId24" display="Zie hiervoor de site van de belastingdienst onder &quot;Voorwaarden aftrek zorgkosten&quot;" xr:uid="{29D7AB26-34EC-42A1-BD31-A2D0841231A3}"/>
  </hyperlinks>
  <pageMargins left="0.70866141732283472" right="0.70866141732283472" top="0.74803149606299213" bottom="0.74803149606299213" header="0.31496062992125984" footer="0.31496062992125984"/>
  <pageSetup paperSize="8" scale="65" orientation="landscape" horizontalDpi="4294967293" r:id="rId25"/>
  <drawing r:id="rId26"/>
  <legacyDrawing r:id="rId27"/>
  <extLst>
    <ext xmlns:x14="http://schemas.microsoft.com/office/spreadsheetml/2009/9/main" uri="{78C0D931-6437-407d-A8EE-F0AAD7539E65}">
      <x14:conditionalFormattings>
        <x14:conditionalFormatting xmlns:xm="http://schemas.microsoft.com/office/excel/2006/main">
          <x14:cfRule type="expression" priority="2952" id="{60A155B2-AC98-49B2-8FDF-ADF7CFE74315}">
            <xm:f>AND('Alimentatie 2023-02'!$D$56&lt;$H$340,$C$8="Nee")</xm:f>
            <x14:dxf>
              <fill>
                <patternFill>
                  <bgColor rgb="FFFFC000"/>
                </patternFill>
              </fill>
            </x14:dxf>
          </x14:cfRule>
          <x14:cfRule type="expression" priority="2951" id="{00000000-000E-0000-0200-0000CF050000}">
            <xm:f>AND('Alimentatie 2023-02'!$D$56&gt;$H$340,$C$8="Ja")</xm:f>
            <x14:dxf>
              <fill>
                <patternFill>
                  <bgColor rgb="FFFFC000"/>
                </patternFill>
              </fill>
            </x14:dxf>
          </x14:cfRule>
          <x14:cfRule type="expression" priority="2950" id="{00000000-000E-0000-0200-0000CE050000}">
            <xm:f>AND('Alimentatie 2023-02'!$D$56&gt;$H$340,$C$8="Ja")</xm:f>
            <x14:dxf>
              <fill>
                <patternFill>
                  <bgColor rgb="FFFF0000"/>
                </patternFill>
              </fill>
            </x14:dxf>
          </x14:cfRule>
          <xm:sqref>C8</xm:sqref>
        </x14:conditionalFormatting>
        <x14:conditionalFormatting xmlns:xm="http://schemas.microsoft.com/office/excel/2006/main">
          <x14:cfRule type="expression" priority="2959" id="{57B52131-CDB9-47DF-B677-B1433483B64B}">
            <xm:f>AND('Alimentatie 2023-02'!$F$56&gt;$H$340,$D$8="Ja")</xm:f>
            <x14:dxf>
              <fill>
                <patternFill>
                  <bgColor rgb="FFFFC000"/>
                </patternFill>
              </fill>
            </x14:dxf>
          </x14:cfRule>
          <x14:cfRule type="expression" priority="2960" id="{00000000-000E-0000-0200-0000D1050000}">
            <xm:f>AND('Alimentatie 2023-02'!$F$56&lt;$H$340,$D$8="Nee")</xm:f>
            <x14:dxf>
              <fill>
                <patternFill>
                  <bgColor rgb="FFFFC000"/>
                </patternFill>
              </fill>
            </x14:dxf>
          </x14:cfRule>
          <xm:sqref>D8</xm:sqref>
        </x14:conditionalFormatting>
      </x14:conditionalFormattings>
    </ext>
    <ext xmlns:x14="http://schemas.microsoft.com/office/spreadsheetml/2009/9/main" uri="{CCE6A557-97BC-4b89-ADB6-D9C93CAAB3DF}">
      <x14:dataValidations xmlns:xm="http://schemas.microsoft.com/office/excel/2006/main" xWindow="380" yWindow="881" count="10">
        <x14:dataValidation type="list" allowBlank="1" showInputMessage="1" showErrorMessage="1" errorTitle="Fout" error="Er is een foutive waarde ingevoerd" promptTitle="Ja / Nee" prompt="Vul Ja of Nee in" xr:uid="{00000000-0002-0000-0000-000002000000}">
          <x14:formula1>
            <xm:f>Keuzelijsten!$G$2:$G$3</xm:f>
          </x14:formula1>
          <xm:sqref>Q75:R75 E165 P166 E129 C129 C288:C289 C34 H312:H323 Q59:R59 E291 C271:D271 D144:E145 D155:E159 D149:E150 C7:D8 C62 E62 E34 C46 E46</xm:sqref>
        </x14:dataValidation>
        <x14:dataValidation type="list" allowBlank="1" showInputMessage="1" showErrorMessage="1" promptTitle="Draagkracht %" prompt="Normaal wordt uitgegaan van 60%" xr:uid="{4637156D-0CC3-4F4D-98D1-11DD5848A6F9}">
          <x14:formula1>
            <xm:f>Keuzelijsten!$M$2:$M$3</xm:f>
          </x14:formula1>
          <xm:sqref>C227:D227</xm:sqref>
        </x14:dataValidation>
        <x14:dataValidation type="list" allowBlank="1" showInputMessage="1" showErrorMessage="1" errorTitle="Fout" error="Foute gegevens invoer" promptTitle="Soort loon" prompt="Geef aan of het om een maand, een 4-wekenloon of een weekloon gaat of andere opties zijn niet mogelijk" xr:uid="{94BE9EE9-34F9-4DD5-A9A7-68879305EB3B}">
          <x14:formula1>
            <xm:f>Keuzelijsten!$C$2:$C$5</xm:f>
          </x14:formula1>
          <xm:sqref>C38 E25 C25 E54 C54 E38</xm:sqref>
        </x14:dataValidation>
        <x14:dataValidation type="list" allowBlank="1" showInputMessage="1" showErrorMessage="1" promptTitle="Behoeftebasis" prompt="Kies de juiste status voor het kind, onder de 18 is de keuze altijd: Tabelbehoefte_x000a_" xr:uid="{AC94851A-8B79-4494-8ED7-9018A13BA60C}">
          <x14:formula1>
            <xm:f>Keuzelijsten!$O$2:$O$8</xm:f>
          </x14:formula1>
          <xm:sqref>F312:F323</xm:sqref>
        </x14:dataValidation>
        <x14:dataValidation type="list" allowBlank="1" showInputMessage="1" showErrorMessage="1" promptTitle="Zorgkorting" prompt="Voor 0%, 5%, 15%, 25% of 35% in" xr:uid="{3B3D1596-6ABE-4544-A47D-15ED9F3E03C5}">
          <x14:formula1>
            <xm:f>Keuzelijsten!$K$2:$K$6</xm:f>
          </x14:formula1>
          <xm:sqref>G295:G306</xm:sqref>
        </x14:dataValidation>
        <x14:dataValidation type="list" allowBlank="1" showInputMessage="1" showErrorMessage="1" errorTitle="Fout" error="Kies de juiste naam uit de tabel" promptTitle="Wie heeft de woning verlaten?" xr:uid="{57948B4A-DB8E-467A-8B70-36B19D0EE346}">
          <x14:formula1>
            <xm:f>Keuzelijsten!$R$2:$R$3</xm:f>
          </x14:formula1>
          <xm:sqref>P165</xm:sqref>
        </x14:dataValidation>
        <x14:dataValidation type="list" allowBlank="1" showInputMessage="1" showErrorMessage="1" errorTitle="Fout" error="Kies de juiste waarde uit de tabel" promptTitle="Rente meenemen o.b.v." xr:uid="{CA29AC0F-E7F7-4C76-A495-806E6D0D9590}">
          <x14:formula1>
            <xm:f>Keuzelijsten!$T$2:$T$3</xm:f>
          </x14:formula1>
          <xm:sqref>P175</xm:sqref>
        </x14:dataValidation>
        <x14:dataValidation type="list" allowBlank="1" showInputMessage="1" showErrorMessage="1" errorTitle="Fout" error="Foute gegevens invoer" promptTitle="Betaalperiode Maand/Jaar" prompt="Geef aan of het om een maand of een jaarbedrag gaat" xr:uid="{1A205309-3377-4F83-9E81-90E3BD26C5BF}">
          <x14:formula1>
            <xm:f>Keuzelijsten!$E$2:$E$3</xm:f>
          </x14:formula1>
          <xm:sqref>C117 E117 E126 C126 C135 E135 C207 E207</xm:sqref>
        </x14:dataValidation>
        <x14:dataValidation type="list" allowBlank="1" showInputMessage="1" showErrorMessage="1" errorTitle="Fout" error="Kies de juiste naam uit de tabel" promptTitle="Wie heeft de woning verlaten?" xr:uid="{B73C9871-0BFB-4C62-9FD9-F72A13BED185}">
          <x14:formula1>
            <xm:f>Keuzelijsten!$R$2:$R$4</xm:f>
          </x14:formula1>
          <xm:sqref>P170:P173</xm:sqref>
        </x14:dataValidation>
        <x14:dataValidation type="list" allowBlank="1" showInputMessage="1" showErrorMessage="1" promptTitle="Geef Ja of Nee in" prompt="Geeft Ja is als er sprake is van een nieuwe partner met voldoende eigen inkomen." xr:uid="{25F6E7AD-C019-47F0-A384-1D6D84E77205}">
          <x14:formula1>
            <xm:f>Keuzelijsten!$G$2:$G$3</xm:f>
          </x14:formula1>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C45"/>
  <sheetViews>
    <sheetView showGridLines="0" zoomScale="80" zoomScaleNormal="80" workbookViewId="0"/>
  </sheetViews>
  <sheetFormatPr defaultColWidth="8.85546875" defaultRowHeight="15" x14ac:dyDescent="0.25"/>
  <cols>
    <col min="1" max="1" width="4.7109375" customWidth="1"/>
    <col min="2" max="2" width="40.7109375" customWidth="1"/>
    <col min="3" max="3" width="13.28515625" customWidth="1"/>
    <col min="4" max="5" width="18.7109375" customWidth="1"/>
    <col min="6" max="6" width="15.7109375" customWidth="1"/>
    <col min="7" max="8" width="13.28515625" customWidth="1"/>
    <col min="9" max="9" width="17.7109375" customWidth="1"/>
    <col min="10" max="10" width="9.7109375" customWidth="1"/>
    <col min="11" max="11" width="11.7109375" customWidth="1"/>
    <col min="12" max="12" width="11.7109375" style="134" customWidth="1"/>
    <col min="13" max="23" width="11.7109375" customWidth="1"/>
    <col min="24" max="26" width="9.7109375" customWidth="1"/>
  </cols>
  <sheetData>
    <row r="1" spans="1:22" ht="21.75" thickBot="1" x14ac:dyDescent="0.4">
      <c r="A1" s="2326"/>
      <c r="B1" s="2280" t="s">
        <v>799</v>
      </c>
      <c r="C1" s="2327"/>
      <c r="D1" s="2327"/>
      <c r="E1" s="2327"/>
      <c r="F1" s="2327"/>
      <c r="G1" s="2327"/>
      <c r="H1" s="2327"/>
      <c r="I1" s="2327"/>
      <c r="J1" s="2327"/>
      <c r="K1" s="2327"/>
      <c r="L1" s="2327"/>
      <c r="M1" s="2327"/>
      <c r="N1" s="2327"/>
      <c r="O1" s="2327"/>
      <c r="P1" s="2327"/>
      <c r="Q1" s="2327"/>
      <c r="R1" s="2327"/>
      <c r="S1" s="2327"/>
      <c r="T1" s="2327"/>
      <c r="U1" s="2327"/>
      <c r="V1" s="2328"/>
    </row>
    <row r="2" spans="1:22" ht="15.75" thickBot="1" x14ac:dyDescent="0.3">
      <c r="B2" s="2209" t="s">
        <v>1024</v>
      </c>
    </row>
    <row r="3" spans="1:22" ht="15" customHeight="1" x14ac:dyDescent="0.25">
      <c r="L3"/>
      <c r="V3" s="3020" t="s">
        <v>464</v>
      </c>
    </row>
    <row r="4" spans="1:22" ht="15" customHeight="1" thickBot="1" x14ac:dyDescent="0.3">
      <c r="B4" s="136" t="s">
        <v>113</v>
      </c>
      <c r="C4" s="137"/>
      <c r="D4" s="137"/>
      <c r="E4" s="137"/>
      <c r="F4" s="138"/>
      <c r="G4" s="139"/>
      <c r="H4" s="4" t="s">
        <v>868</v>
      </c>
      <c r="I4" s="4"/>
      <c r="L4"/>
      <c r="Q4" s="4" t="s">
        <v>289</v>
      </c>
      <c r="V4" s="3021"/>
    </row>
    <row r="5" spans="1:22" ht="15" customHeight="1" thickBot="1" x14ac:dyDescent="0.3">
      <c r="C5" s="140" t="s">
        <v>336</v>
      </c>
      <c r="D5" s="140" t="s">
        <v>328</v>
      </c>
      <c r="F5" s="140" t="s">
        <v>58</v>
      </c>
      <c r="J5" s="3023" t="s">
        <v>869</v>
      </c>
      <c r="K5" s="3024"/>
      <c r="L5" s="2954" t="s">
        <v>796</v>
      </c>
      <c r="M5" s="2954" t="s">
        <v>881</v>
      </c>
      <c r="Q5" s="135"/>
      <c r="U5" s="245" t="s">
        <v>58</v>
      </c>
      <c r="V5" s="3022"/>
    </row>
    <row r="6" spans="1:22" ht="15" customHeight="1" thickBot="1" x14ac:dyDescent="0.3">
      <c r="A6" s="568" t="s">
        <v>249</v>
      </c>
      <c r="B6" s="1393" t="s">
        <v>329</v>
      </c>
      <c r="C6" s="246">
        <f>Basisgegevens!C17</f>
        <v>2023</v>
      </c>
      <c r="D6" s="1410">
        <f>Basisgegevens!C20</f>
        <v>0</v>
      </c>
      <c r="E6" s="2957" t="s">
        <v>798</v>
      </c>
      <c r="F6" s="246">
        <f>C6</f>
        <v>2023</v>
      </c>
      <c r="H6" s="3025" t="s">
        <v>867</v>
      </c>
      <c r="I6" s="3026"/>
      <c r="J6" s="22" t="str">
        <f>Basisgegevens!$C$4</f>
        <v>AP</v>
      </c>
      <c r="K6" s="22" t="str">
        <f>Basisgegevens!$D$4</f>
        <v>AG</v>
      </c>
      <c r="L6" s="2956"/>
      <c r="M6" s="2955"/>
      <c r="Q6" s="275"/>
      <c r="R6" s="1632"/>
      <c r="S6" s="1632"/>
      <c r="T6" s="1637" t="str">
        <f>Basisgegevens!$C$4</f>
        <v>AP</v>
      </c>
      <c r="U6" s="2252">
        <f ca="1">'Alimentatie 2023-02'!E$285</f>
        <v>0</v>
      </c>
      <c r="V6" s="887">
        <f ca="1">IF(U6&lt;0.0001,0,(U6/U$8)*$D$23)</f>
        <v>0</v>
      </c>
    </row>
    <row r="7" spans="1:22" ht="15" customHeight="1" thickBot="1" x14ac:dyDescent="0.3">
      <c r="A7" s="11">
        <v>121</v>
      </c>
      <c r="B7" s="1409" t="str">
        <f>Basisgegevens!C4</f>
        <v>AP</v>
      </c>
      <c r="C7" s="1401">
        <f ca="1">IF(Basisgegevens!C230&lt;0,0,Basisgegevens!C230)</f>
        <v>0</v>
      </c>
      <c r="D7" s="1403" t="s">
        <v>599</v>
      </c>
      <c r="E7" s="2958"/>
      <c r="F7" s="1403"/>
      <c r="H7" s="2975" t="str">
        <f>Basisgegevens!M295</f>
        <v>0 t/m 17 (Tabel)</v>
      </c>
      <c r="I7" s="2976"/>
      <c r="J7" s="1655">
        <f>Basisgegevens!N295</f>
        <v>0</v>
      </c>
      <c r="K7" s="458">
        <f>Basisgegevens!O295</f>
        <v>0</v>
      </c>
      <c r="L7" s="16">
        <f>SUM(J7:K7)</f>
        <v>0</v>
      </c>
      <c r="M7" s="2955"/>
      <c r="Q7" s="1633"/>
      <c r="R7" s="1634"/>
      <c r="S7" s="1634"/>
      <c r="T7" s="1638" t="str">
        <f>Basisgegevens!$D$4</f>
        <v>AG</v>
      </c>
      <c r="U7" s="457">
        <f ca="1">'Alimentatie 2023-02'!G$285</f>
        <v>0</v>
      </c>
      <c r="V7" s="888">
        <f ca="1">IF(U7&lt;0.0001,0,(U7/U$8)*$D$23)</f>
        <v>0</v>
      </c>
    </row>
    <row r="8" spans="1:22" ht="15" customHeight="1" thickBot="1" x14ac:dyDescent="0.3">
      <c r="A8" s="217">
        <v>121</v>
      </c>
      <c r="B8" s="189" t="str">
        <f>Basisgegevens!D4</f>
        <v>AG</v>
      </c>
      <c r="C8" s="1402">
        <f ca="1">IF(Basisgegevens!D230&lt;0,0,Basisgegevens!D230)</f>
        <v>0</v>
      </c>
      <c r="D8" s="1407" t="s">
        <v>599</v>
      </c>
      <c r="E8" s="2958"/>
      <c r="F8" s="1404"/>
      <c r="H8" s="2977" t="str">
        <f>Basisgegevens!M296</f>
        <v>18 tot 21 (Tabel)</v>
      </c>
      <c r="I8" s="2978"/>
      <c r="J8" s="1656">
        <f>Basisgegevens!N296</f>
        <v>0</v>
      </c>
      <c r="K8" s="459">
        <f>Basisgegevens!O296</f>
        <v>0</v>
      </c>
      <c r="L8" s="17">
        <f>SUM(J8:K8)</f>
        <v>0</v>
      </c>
      <c r="M8" s="2955"/>
      <c r="Q8" s="1630"/>
      <c r="R8" s="1631"/>
      <c r="S8" s="1631"/>
      <c r="T8" s="1635" t="s">
        <v>319</v>
      </c>
      <c r="U8" s="454">
        <f ca="1">SUM(U6:U7)</f>
        <v>0</v>
      </c>
      <c r="V8" s="276">
        <f ca="1">SUM(V6:V7)</f>
        <v>0</v>
      </c>
    </row>
    <row r="9" spans="1:22" ht="15" customHeight="1" x14ac:dyDescent="0.25">
      <c r="A9" s="217"/>
      <c r="B9" s="190" t="s">
        <v>276</v>
      </c>
      <c r="C9" s="1402">
        <f>Basisgegevens!E281</f>
        <v>0</v>
      </c>
      <c r="D9" s="1405" t="s">
        <v>599</v>
      </c>
      <c r="E9" s="2958"/>
      <c r="F9" s="1405"/>
      <c r="H9" s="2977" t="str">
        <f>Basisgegevens!M297</f>
        <v>12 t/m 17 (MBO)</v>
      </c>
      <c r="I9" s="2978"/>
      <c r="J9" s="1656">
        <f>Basisgegevens!N297</f>
        <v>0</v>
      </c>
      <c r="K9" s="459">
        <f>Basisgegevens!O297</f>
        <v>0</v>
      </c>
      <c r="L9" s="17">
        <f>SUM(J9:K9)</f>
        <v>0</v>
      </c>
      <c r="M9" s="2955"/>
      <c r="Q9" s="1640"/>
      <c r="R9" s="1632"/>
      <c r="S9" s="1632"/>
      <c r="T9" s="1641" t="s">
        <v>800</v>
      </c>
      <c r="U9" s="2459">
        <f ca="1">D23+G41</f>
        <v>0</v>
      </c>
    </row>
    <row r="10" spans="1:22" ht="15" customHeight="1" thickBot="1" x14ac:dyDescent="0.3">
      <c r="A10" s="10"/>
      <c r="B10" s="191" t="s">
        <v>1143</v>
      </c>
      <c r="C10" s="553">
        <f>Basisgegevens!E280*-1</f>
        <v>0</v>
      </c>
      <c r="D10" s="1406" t="s">
        <v>599</v>
      </c>
      <c r="E10" s="2959"/>
      <c r="F10" s="1406"/>
      <c r="H10" s="2979" t="str">
        <f>Basisgegevens!M298</f>
        <v>18 tot 21 (Student)</v>
      </c>
      <c r="I10" s="2980"/>
      <c r="J10" s="1657">
        <f>Basisgegevens!N298</f>
        <v>0</v>
      </c>
      <c r="K10" s="460">
        <f>Basisgegevens!O298</f>
        <v>0</v>
      </c>
      <c r="L10" s="145">
        <f>SUM(J10:K10)</f>
        <v>0</v>
      </c>
      <c r="M10" s="2956"/>
      <c r="Q10" s="1642"/>
      <c r="R10" s="1629"/>
      <c r="S10" s="1629"/>
      <c r="T10" s="1636" t="str">
        <f ca="1">IF(U10&lt;0,"TEKORT:","Over:")</f>
        <v>Over:</v>
      </c>
      <c r="U10" s="888">
        <f ca="1">U8-H41</f>
        <v>0</v>
      </c>
    </row>
    <row r="11" spans="1:22" ht="15" customHeight="1" thickBot="1" x14ac:dyDescent="0.3">
      <c r="B11" s="1408" t="s">
        <v>277</v>
      </c>
      <c r="C11" s="141">
        <f ca="1">SUM(C7:C10)</f>
        <v>0</v>
      </c>
      <c r="D11" s="269">
        <f>IF(C6=D6,"n.v.t",Basisgegevens!C21)</f>
        <v>0</v>
      </c>
      <c r="E11" s="270">
        <f ca="1">IF(AND(D6&lt;&gt;0,D6&lt;C6,D11&gt;0,SUM(C7:C8)&lt;D11),D11,C11)</f>
        <v>0</v>
      </c>
      <c r="F11" s="141"/>
      <c r="J11" s="1673">
        <f>SUM(J7:J10)</f>
        <v>0</v>
      </c>
      <c r="K11" s="1673">
        <f>SUM(K7:K10)</f>
        <v>0</v>
      </c>
      <c r="L11" s="1673">
        <f>SUM(L7:L10)</f>
        <v>0</v>
      </c>
      <c r="M11" s="1673">
        <f>Basisgegevens!Q299</f>
        <v>0</v>
      </c>
      <c r="Q11" s="1642"/>
      <c r="R11" s="1629"/>
      <c r="S11" s="1629"/>
      <c r="T11" s="1636" t="s">
        <v>801</v>
      </c>
      <c r="U11" s="455">
        <f ca="1">IF(U10&lt;0,(U10*V11)*-1,0)</f>
        <v>0</v>
      </c>
      <c r="V11" s="461">
        <v>0.5</v>
      </c>
    </row>
    <row r="12" spans="1:22" ht="15" customHeight="1" thickBot="1" x14ac:dyDescent="0.3">
      <c r="B12" s="2582" t="str">
        <f>Basisgegevens!B289</f>
        <v>Een NBI tbv KA  &gt; € 6000, toch maximaliseren op € 6000?</v>
      </c>
      <c r="C12" s="2973"/>
      <c r="D12" s="2974"/>
      <c r="E12" s="480" t="str">
        <f>Basisgegevens!C289</f>
        <v>Ja</v>
      </c>
      <c r="J12" s="2960" t="str">
        <f>IF(L11&gt;4,"----&gt; Teveel kinderen, er wordt alleen met de oudste 4 kinderen gerekend ","")</f>
        <v/>
      </c>
      <c r="K12" s="2961"/>
      <c r="L12" s="2961"/>
      <c r="M12" s="2962"/>
      <c r="N12" s="2962"/>
      <c r="O12" s="2963"/>
      <c r="Q12" s="1643"/>
      <c r="R12" s="1634"/>
      <c r="S12" s="1634"/>
      <c r="T12" s="1639" t="s">
        <v>802</v>
      </c>
      <c r="U12" s="456">
        <f ca="1">IF(U8&lt;0.01,0,IF(U10&lt;0,(U11/K41),0))</f>
        <v>0</v>
      </c>
    </row>
    <row r="13" spans="1:22" ht="15" customHeight="1" thickBot="1" x14ac:dyDescent="0.3">
      <c r="H13" s="3018" t="str">
        <f>Basisgegevens!M301</f>
        <v>21 of ouder</v>
      </c>
      <c r="I13" s="3019"/>
      <c r="J13" s="2460">
        <f>Basisgegevens!N301</f>
        <v>0</v>
      </c>
      <c r="K13" s="2175">
        <f>Basisgegevens!O301</f>
        <v>0</v>
      </c>
      <c r="L13" s="129">
        <f>SUM(J13:K13)</f>
        <v>0</v>
      </c>
    </row>
    <row r="14" spans="1:22" ht="15" customHeight="1" x14ac:dyDescent="0.25">
      <c r="L14"/>
    </row>
    <row r="15" spans="1:22" ht="15" customHeight="1" thickBot="1" x14ac:dyDescent="0.3">
      <c r="B15" s="4" t="s">
        <v>873</v>
      </c>
      <c r="J15" s="4" t="s">
        <v>865</v>
      </c>
      <c r="L15"/>
    </row>
    <row r="16" spans="1:22" ht="15" customHeight="1" thickBot="1" x14ac:dyDescent="0.3">
      <c r="D16" s="2981" t="s">
        <v>870</v>
      </c>
      <c r="E16" s="2981" t="s">
        <v>871</v>
      </c>
      <c r="J16" s="3027" t="s">
        <v>866</v>
      </c>
      <c r="L16" s="1125"/>
      <c r="M16" s="1125"/>
      <c r="N16" s="1125"/>
      <c r="O16" s="1125"/>
      <c r="P16" s="1125"/>
      <c r="Q16" s="1125"/>
      <c r="R16" s="1125"/>
      <c r="S16" s="1125"/>
      <c r="T16" s="1125"/>
      <c r="U16" s="1125"/>
    </row>
    <row r="17" spans="1:29" ht="15" customHeight="1" thickBot="1" x14ac:dyDescent="0.3">
      <c r="B17" s="2952" t="s">
        <v>872</v>
      </c>
      <c r="C17" s="2953"/>
      <c r="D17" s="2982"/>
      <c r="E17" s="3014"/>
      <c r="J17" s="3028"/>
      <c r="K17" s="1644">
        <v>1500</v>
      </c>
      <c r="L17" s="1126">
        <v>1750</v>
      </c>
      <c r="M17" s="1126">
        <v>2000</v>
      </c>
      <c r="N17" s="1126">
        <v>2500</v>
      </c>
      <c r="O17" s="1126">
        <v>3000</v>
      </c>
      <c r="P17" s="1126">
        <v>3500</v>
      </c>
      <c r="Q17" s="1126">
        <v>4000</v>
      </c>
      <c r="R17" s="1126">
        <v>4500</v>
      </c>
      <c r="S17" s="1126">
        <v>5000</v>
      </c>
      <c r="T17" s="1126">
        <v>5500</v>
      </c>
      <c r="U17" s="1127">
        <v>6000</v>
      </c>
    </row>
    <row r="18" spans="1:29" ht="15" customHeight="1" thickBot="1" x14ac:dyDescent="0.3">
      <c r="B18" s="2964" t="s">
        <v>116</v>
      </c>
      <c r="C18" s="2965"/>
      <c r="D18" s="1658">
        <f ca="1">IF(KANBIBerekend&lt;=$K$17,0.001,IF(KANBIBerekend&gt;=$U$17,T$17,IF(AND(KANBIBerekend&gt;$K$17,KANBIBerekend&lt;$L$17),K$17,IF(AND(KANBIBerekend&gt;=$L$17,KANBIBerekend&lt;$M$17),L$17,IF(AND(KANBIBerekend&gt;=$M$17,KANBIBerekend&lt;$N$17),M$17,IF(AND(KANBIBerekend&gt;=$N$17,KANBIBerekend&lt;$O$17),N$17,IF(AND(KANBIBerekend&gt;=$O$17,KANBIBerekend&lt;$P$17),O$17,IF(AND(KANBIBerekend&gt;=$P$17,KANBIBerekend&lt;$Q$17),P$17,IF(AND(KANBIBerekend&gt;=$Q$17,KANBIBerekend&lt;$R$17),Q$17,IF(AND(KANBIBerekend&gt;=$R$17,KANBIBerekend&lt;$S$17),R$17,IF(AND(KANBIBerekend&gt;=$S$17,KANBIBerekend&lt;$T$17),S$17,IF(AND(KANBIBerekend&gt;=$T$17,KANBIBerekend&lt;$U$17),T$17,0))))))))))))</f>
        <v>1E-3</v>
      </c>
      <c r="E18" s="1658">
        <f ca="1">IF(KANBIBerekend&lt;=$K$17,K$17,IF(KANBIBerekend&gt;=$U$17,U$17,IF(AND(KANBIBerekend&gt;$K$17,KANBIBerekend&lt;$L$17),L$17,IF(AND(KANBIBerekend&gt;=$L$17,KANBIBerekend&lt;$M$17),M$17,IF(AND(KANBIBerekend&gt;=$M$17,KANBIBerekend&lt;$N$17),N$17,IF(AND(KANBIBerekend&gt;=$N$17,KANBIBerekend&lt;$O$17),O$17,IF(AND(KANBIBerekend&gt;=$O$17,KANBIBerekend&lt;$P$17),P$17,IF(AND(KANBIBerekend&gt;=$P$17,KANBIBerekend&lt;$Q$17),Q$17,IF(AND(KANBIBerekend&gt;=$Q$17,KANBIBerekend&lt;$R$17),R$17,IF(AND(KANBIBerekend&gt;=$R$17,KANBIBerekend&lt;$S$17),S$17,IF(AND(KANBIBerekend&gt;=$S$17,KANBIBerekend&lt;$T$17),T$17,IF(AND(KANBIBerekend&gt;=$T$17,KANBIBerekend&lt;$U$17),U$17,0))))))))))))</f>
        <v>1500</v>
      </c>
      <c r="J18" s="1679">
        <v>1</v>
      </c>
      <c r="K18" s="1135">
        <v>150</v>
      </c>
      <c r="L18" s="1135">
        <v>190</v>
      </c>
      <c r="M18" s="1135">
        <v>230</v>
      </c>
      <c r="N18" s="1135">
        <v>310</v>
      </c>
      <c r="O18" s="1135">
        <v>390</v>
      </c>
      <c r="P18" s="1135">
        <v>470</v>
      </c>
      <c r="Q18" s="1135">
        <v>550</v>
      </c>
      <c r="R18" s="1135">
        <v>630</v>
      </c>
      <c r="S18" s="1135">
        <v>710</v>
      </c>
      <c r="T18" s="1135">
        <v>790</v>
      </c>
      <c r="U18" s="1138">
        <v>870</v>
      </c>
    </row>
    <row r="19" spans="1:29" ht="15" customHeight="1" thickBot="1" x14ac:dyDescent="0.3">
      <c r="B19" s="2966" t="str">
        <f>"Afgelezen waarde uit tabel: Eigen aandeel"</f>
        <v>Afgelezen waarde uit tabel: Eigen aandeel</v>
      </c>
      <c r="C19" s="2965"/>
      <c r="D19" s="1659">
        <f ca="1">IF(OR(KANBIBerekend&lt;K17,KAKindRekenAantal=0),0,VLOOKUP(IF(AND(BGKind21Wel="Ja",L13+KAKindRekenAantal&lt;=4),L13+KAKindRekenAantal,KAKindRekenAantal),$J$17:$U21,1+MATCH(KANBIOndergrens,$K$17:$U$17,0),FALSE))</f>
        <v>0</v>
      </c>
      <c r="E19" s="1660">
        <f>IF(IF(BGKind21Wel="Ja",L13+KAKindRekenAantal,KAKindRekenAantal)=0,0,VLOOKUP(IF(AND(BGKind21Wel="Ja",L13+KAKindRekenAantal&lt;=4),L13+KAKindRekenAantal,KAKindRekenAantal),$J$17:$U21,1+MATCH(KANBIBovengrens,$K$17:$U$17,0),FALSE))</f>
        <v>0</v>
      </c>
      <c r="F19" s="3015" t="s">
        <v>874</v>
      </c>
      <c r="G19" s="2559"/>
      <c r="H19" s="2611"/>
      <c r="J19" s="1680">
        <v>2</v>
      </c>
      <c r="K19" s="1136">
        <v>235</v>
      </c>
      <c r="L19" s="1136">
        <v>310</v>
      </c>
      <c r="M19" s="1136">
        <v>380</v>
      </c>
      <c r="N19" s="1136">
        <v>515</v>
      </c>
      <c r="O19" s="1136">
        <v>650</v>
      </c>
      <c r="P19" s="1136">
        <v>785</v>
      </c>
      <c r="Q19" s="1136">
        <v>920</v>
      </c>
      <c r="R19" s="1136">
        <v>1055</v>
      </c>
      <c r="S19" s="1136">
        <v>1190</v>
      </c>
      <c r="T19" s="1136">
        <v>1325</v>
      </c>
      <c r="U19" s="1139">
        <v>1460</v>
      </c>
    </row>
    <row r="20" spans="1:29" ht="15" customHeight="1" x14ac:dyDescent="0.25">
      <c r="B20" s="2967" t="s">
        <v>115</v>
      </c>
      <c r="C20" s="2968"/>
      <c r="D20" s="1661">
        <f ca="1">IF(OR(KANBIBerekend&lt;K17,AND(E11&gt;=$U$17,$E$12="Ja")),0,$E$11-$D$18)</f>
        <v>0</v>
      </c>
      <c r="E20" s="1662"/>
      <c r="J20" s="1680">
        <v>3</v>
      </c>
      <c r="K20" s="1136">
        <v>245</v>
      </c>
      <c r="L20" s="1136">
        <v>315</v>
      </c>
      <c r="M20" s="1136">
        <v>390</v>
      </c>
      <c r="N20" s="1136">
        <v>545</v>
      </c>
      <c r="O20" s="1136">
        <v>700</v>
      </c>
      <c r="P20" s="1136">
        <v>855</v>
      </c>
      <c r="Q20" s="1136">
        <v>1010</v>
      </c>
      <c r="R20" s="1136">
        <v>1165</v>
      </c>
      <c r="S20" s="1136">
        <v>1320</v>
      </c>
      <c r="T20" s="1136">
        <v>1475</v>
      </c>
      <c r="U20" s="1139">
        <v>1630</v>
      </c>
    </row>
    <row r="21" spans="1:29" ht="15" customHeight="1" thickBot="1" x14ac:dyDescent="0.3">
      <c r="B21" s="2969" t="s">
        <v>117</v>
      </c>
      <c r="C21" s="2970"/>
      <c r="D21" s="1663">
        <f ca="1">IF(AND($E$11&gt;=$U$17,$E$12="Ja"),0,$E$18-$D$18)</f>
        <v>1499.999</v>
      </c>
      <c r="E21" s="271"/>
      <c r="J21" s="1681">
        <v>4</v>
      </c>
      <c r="K21" s="1137">
        <v>280</v>
      </c>
      <c r="L21" s="1137">
        <v>370</v>
      </c>
      <c r="M21" s="1137">
        <v>460</v>
      </c>
      <c r="N21" s="1137">
        <v>645</v>
      </c>
      <c r="O21" s="1137">
        <v>830</v>
      </c>
      <c r="P21" s="1137">
        <v>1015</v>
      </c>
      <c r="Q21" s="1137">
        <v>1200</v>
      </c>
      <c r="R21" s="1137">
        <v>1385</v>
      </c>
      <c r="S21" s="1137">
        <v>1570</v>
      </c>
      <c r="T21" s="1137">
        <v>1755</v>
      </c>
      <c r="U21" s="1140">
        <v>1940</v>
      </c>
    </row>
    <row r="22" spans="1:29" ht="15" customHeight="1" thickBot="1" x14ac:dyDescent="0.3">
      <c r="B22" s="2971" t="s">
        <v>118</v>
      </c>
      <c r="C22" s="2972"/>
      <c r="D22" s="1664">
        <f ca="1">IF(AND($E$11&gt;=$U$17,$E$12="Ja"),0,($D$20/$D$21)*($E$19-$D$19))</f>
        <v>0</v>
      </c>
      <c r="E22" s="271"/>
      <c r="L22"/>
    </row>
    <row r="23" spans="1:29" ht="15" customHeight="1" thickBot="1" x14ac:dyDescent="0.3">
      <c r="B23" s="2950" t="s">
        <v>330</v>
      </c>
      <c r="C23" s="2951"/>
      <c r="D23" s="699">
        <f ca="1">IF(AND($E$11&gt;=$U$17,$E$12="Ja"),$E$19,(($E$11-$D$18)/(($E$18-$D$18))*($E$19-$D$19))+$D$19)</f>
        <v>0</v>
      </c>
      <c r="E23" s="467"/>
      <c r="L23"/>
    </row>
    <row r="24" spans="1:29" ht="15" customHeight="1" thickBot="1" x14ac:dyDescent="0.3">
      <c r="M24" s="3002" t="str">
        <f>BGPartnerAP</f>
        <v>AP</v>
      </c>
      <c r="N24" s="3003"/>
      <c r="O24" s="3004"/>
      <c r="P24" s="3005"/>
      <c r="Q24" s="3002" t="str">
        <f>BGPartnerAG</f>
        <v>AG</v>
      </c>
      <c r="R24" s="3003"/>
      <c r="S24" s="3004"/>
      <c r="T24" s="3005"/>
    </row>
    <row r="25" spans="1:29" ht="15" customHeight="1" thickBot="1" x14ac:dyDescent="0.3">
      <c r="F25" s="2998" t="s">
        <v>665</v>
      </c>
      <c r="G25" s="3031" t="s">
        <v>284</v>
      </c>
      <c r="H25" s="2657" t="s">
        <v>283</v>
      </c>
      <c r="I25" s="2"/>
      <c r="J25" s="2657" t="s">
        <v>286</v>
      </c>
      <c r="K25" s="2657" t="s">
        <v>876</v>
      </c>
      <c r="L25" s="2764" t="s">
        <v>875</v>
      </c>
      <c r="M25" s="2669" t="s">
        <v>320</v>
      </c>
      <c r="N25" s="2998" t="s">
        <v>271</v>
      </c>
      <c r="O25" s="3006" t="s">
        <v>887</v>
      </c>
      <c r="P25" s="2673" t="s">
        <v>475</v>
      </c>
      <c r="Q25" s="2669" t="s">
        <v>320</v>
      </c>
      <c r="R25" s="2998" t="s">
        <v>271</v>
      </c>
      <c r="S25" s="3006" t="s">
        <v>887</v>
      </c>
      <c r="T25" s="3006" t="s">
        <v>475</v>
      </c>
    </row>
    <row r="26" spans="1:29" ht="15" customHeight="1" x14ac:dyDescent="0.25">
      <c r="F26" s="2999"/>
      <c r="G26" s="3032"/>
      <c r="H26" s="2666"/>
      <c r="I26" s="2764" t="str">
        <f>Basisgegevens!C293</f>
        <v>Kind valt onder de zorg / regie van</v>
      </c>
      <c r="J26" s="2666"/>
      <c r="K26" s="2666"/>
      <c r="L26" s="2876"/>
      <c r="M26" s="3010"/>
      <c r="N26" s="2999"/>
      <c r="O26" s="3007"/>
      <c r="P26" s="3012"/>
      <c r="Q26" s="3010"/>
      <c r="R26" s="2999"/>
      <c r="S26" s="3007"/>
      <c r="T26" s="3007"/>
    </row>
    <row r="27" spans="1:29" ht="15" customHeight="1" thickBot="1" x14ac:dyDescent="0.3">
      <c r="F27" s="3029"/>
      <c r="G27" s="3033"/>
      <c r="H27" s="3035"/>
      <c r="I27" s="2876"/>
      <c r="J27" s="3016"/>
      <c r="K27" s="3016"/>
      <c r="L27" s="2802"/>
      <c r="M27" s="3011"/>
      <c r="N27" s="3000"/>
      <c r="O27" s="3008"/>
      <c r="P27" s="3013"/>
      <c r="Q27" s="3011"/>
      <c r="R27" s="3000"/>
      <c r="S27" s="3008"/>
      <c r="T27" s="3008"/>
    </row>
    <row r="28" spans="1:29" ht="15" customHeight="1" thickBot="1" x14ac:dyDescent="0.3">
      <c r="A28" s="818" t="s">
        <v>249</v>
      </c>
      <c r="B28" s="1031" t="s">
        <v>281</v>
      </c>
      <c r="C28" s="253" t="s">
        <v>273</v>
      </c>
      <c r="D28" s="253" t="s">
        <v>282</v>
      </c>
      <c r="E28" s="1624" t="s">
        <v>638</v>
      </c>
      <c r="F28" s="3030"/>
      <c r="G28" s="3034"/>
      <c r="H28" s="3035"/>
      <c r="I28" s="2659"/>
      <c r="J28" s="3017"/>
      <c r="K28" s="3017"/>
      <c r="L28" s="2750"/>
      <c r="M28" s="2670"/>
      <c r="N28" s="3001"/>
      <c r="O28" s="3009"/>
      <c r="P28" s="2674"/>
      <c r="Q28" s="2670"/>
      <c r="R28" s="3001"/>
      <c r="S28" s="3009"/>
      <c r="T28" s="3009"/>
      <c r="U28" s="2989" t="s">
        <v>350</v>
      </c>
      <c r="V28" s="2990"/>
      <c r="W28" s="2990"/>
      <c r="X28" s="2990"/>
      <c r="Y28" s="2990"/>
      <c r="Z28" s="2990"/>
      <c r="AA28" s="2990"/>
      <c r="AB28" s="2990"/>
      <c r="AC28" s="2991"/>
    </row>
    <row r="29" spans="1:29" ht="15" customHeight="1" x14ac:dyDescent="0.25">
      <c r="A29" s="854">
        <v>1</v>
      </c>
      <c r="B29" s="1027" t="str">
        <f>IF(Basisgegevens!B295="","--",Basisgegevens!B295)</f>
        <v>--</v>
      </c>
      <c r="C29" s="1028" t="str">
        <f>IF(Basisgegevens!E295="","--",Basisgegevens!E295)</f>
        <v>--</v>
      </c>
      <c r="D29" s="1029" t="str">
        <f>IF(Basisgegevens!E312="","--",Basisgegevens!E312)</f>
        <v>--</v>
      </c>
      <c r="E29" s="1030" t="str">
        <f>IF(D29="--","--",IF(AND($D29&gt;=21,BGKind21Wel="Nee"),"n.v.t",Basisgegevens!F312))</f>
        <v>--</v>
      </c>
      <c r="F29" s="1645" t="str">
        <f>IF(D29="--","--",IF(OR(AND($D29&gt;=21,BGKind21Wel="Nee"),Basisgegevens!$F312="Zelfvoorzienend"),"n.v.t",IF(OR(LEFT(Basisgegevens!$F312,3)="MBO",LEFT(Basisgegevens!$F312,6)="HBO/WO"),Basisgegevens!$J312,KAEigenAandeel/KAKindTotaalAantal)))</f>
        <v>--</v>
      </c>
      <c r="G29" s="1653">
        <f>IF(OR(E29="--",E29="???",F29="n.v.t"),0,Basisgegevens!F295)</f>
        <v>0</v>
      </c>
      <c r="H29" s="474">
        <f>IF(OR(F29="n.v.t",F29="--"),0,F29+G29)</f>
        <v>0</v>
      </c>
      <c r="I29" s="471" t="str">
        <f>IF(Basisgegevens!C295=1,BGPartnerAP,IF(Basisgegevens!D295=1,BGPartnerAG,"--"))</f>
        <v>--</v>
      </c>
      <c r="J29" s="1676">
        <f>Basisgegevens!G295</f>
        <v>0.15</v>
      </c>
      <c r="K29" s="220">
        <f t="shared" ref="K29:K40" si="0">IF(OR($F29="n.v.t",$F29="--",$F29&lt;0),0,(KAEigenAandeel/KAKindTotaalAantal)*J29)</f>
        <v>0</v>
      </c>
      <c r="L29" s="179">
        <f t="shared" ref="L29:L40" si="1">IF(OR($F29="n.v.t",$F29="--",$F29&lt;0),0,IF(K29-(K29*KAKortingDraagkracht)&lt;0.01,0,K29-(K29*KAKortingDraagkracht)))</f>
        <v>0</v>
      </c>
      <c r="M29" s="220">
        <f t="shared" ref="M29:M40" si="2">IF(OR($F29="n.v.t",$F29="--",$F29&lt;0),0,IF(KADraagkrachtTekort&gt;0,($U$6/$U$8)*$H29,($U$6/$U$8)*$H29*($U$8/$H$41)))</f>
        <v>0</v>
      </c>
      <c r="N29" s="1690">
        <f t="shared" ref="N29:N40" si="3">IF(OR($F29="n.v.t",$F29="--",$F29&lt;0),0,IF(BGPartnerAP=$I29,0,IF(O29&lt;0,K29+O29,K29)))</f>
        <v>0</v>
      </c>
      <c r="O29" s="1691">
        <f t="shared" ref="O29:O40" si="4">IF(OR($F29="n.v.t",$F29="--",$F29&lt;0),0,IF(BGPartnerAP=$I29,IF(AND(Q29=0,S29&lt;0),L29,IF(AND(Q29&gt;0,S29&lt;0),L29-Q29,0)),M29-$L29))</f>
        <v>0</v>
      </c>
      <c r="P29" s="1687">
        <f t="shared" ref="P29:P40" si="5">IF(OR($F29="n.v.t",$F29="--",$F29&lt;0),0,IF(BGPartnerAP=$I29,IF(OR(AND(Q29=0,S29&lt;0),AND(Q29&gt;0,S29&lt;0)),H29-K29,H29-K29-S29),0))</f>
        <v>0</v>
      </c>
      <c r="Q29" s="220">
        <f t="shared" ref="Q29:Q40" si="6">IF(OR($F29="n.v.t",$F29="--",$F29&lt;0),0,IF(KADraagkrachtTekort&gt;0,($U$7/$U$8)*$H29,($U$7/$U$8)*$H29*($U$8/$H$41)))</f>
        <v>0</v>
      </c>
      <c r="R29" s="1690">
        <f t="shared" ref="R29:R40" si="7">IF(OR($F29="n.v.t",$F29="--",$F29&lt;0),0,IF(BGPartnerAG=$I29,0,IF(S29&lt;0,K29+S29,K29)))</f>
        <v>0</v>
      </c>
      <c r="S29" s="1691">
        <f t="shared" ref="S29:S40" si="8">IF(OR($F29="n.v.t",$F29="--",$F29&lt;0),0,IF(BGPartnerAG=$I29,IF(AND(M29=0,O29&lt;0),L29,IF(AND(M29&gt;0,O29&lt;0),L29-Q29,0)),Q29-$L29))</f>
        <v>0</v>
      </c>
      <c r="T29" s="1687">
        <f t="shared" ref="T29:T40" si="9">IF(OR($F29="n.v.t",$F29="--",$F29&lt;0),0,IF(BGPartnerAG=$I29,IF(OR(AND(M29=0,O29&lt;0),AND(M29&gt;0,O29&lt;0)),H29-K29,H29-K29-O29),0))</f>
        <v>0</v>
      </c>
      <c r="U29" s="2992" t="str">
        <f t="shared" ref="U29:U40" si="10">IF(OR($F29="n.v.t",$F29="--"),"--",IF(O29&lt;0,CONCATENATE("Negatieve zorgkorting bij ",$M$24,", deze toewijzen aan ",$Q$24),IF(S29&lt;0,CONCATENATE("Negatieve zorgkorting bij ",$Q$24,", deze toewijzen aan ",$M$24),"--")))</f>
        <v>--</v>
      </c>
      <c r="V29" s="2993"/>
      <c r="W29" s="2993"/>
      <c r="X29" s="2993"/>
      <c r="Y29" s="2993"/>
      <c r="Z29" s="2993"/>
      <c r="AA29" s="2993"/>
      <c r="AB29" s="2993"/>
      <c r="AC29" s="2994"/>
    </row>
    <row r="30" spans="1:29" ht="15" customHeight="1" x14ac:dyDescent="0.25">
      <c r="A30" s="855">
        <v>2</v>
      </c>
      <c r="B30" s="857" t="str">
        <f>IF(Basisgegevens!B296="","--",Basisgegevens!B296)</f>
        <v>--</v>
      </c>
      <c r="C30" s="147" t="str">
        <f>IF(Basisgegevens!E296="","--",Basisgegevens!E296)</f>
        <v>--</v>
      </c>
      <c r="D30" s="148" t="str">
        <f>IF(Basisgegevens!E313="","--",Basisgegevens!E313)</f>
        <v>--</v>
      </c>
      <c r="E30" s="858" t="str">
        <f>IF(D30="--","--",IF(AND($D30&gt;=21,BGKind21Wel="Nee"),"n.v.t",Basisgegevens!F313))</f>
        <v>--</v>
      </c>
      <c r="F30" s="1646" t="str">
        <f>IF(D30="--","--",IF(OR(AND($D30&gt;=21,BGKind21Wel="Nee"),Basisgegevens!$F313="Zelfvoorzienend"),"n.v.t",IF(OR(LEFT(Basisgegevens!$F313,3)="MBO",LEFT(Basisgegevens!$F313,6)="HBO/WO"),Basisgegevens!$J313,KAEigenAandeel/KAKindTotaalAantal)))</f>
        <v>--</v>
      </c>
      <c r="G30" s="1651">
        <f>IF(OR(E30="--",E30="???",F30="n.v.t"),0,Basisgegevens!F296)</f>
        <v>0</v>
      </c>
      <c r="H30" s="475">
        <f t="shared" ref="H30:H34" si="11">IF(OR(F30="n.v.t",F30="--"),0,F30+G30)</f>
        <v>0</v>
      </c>
      <c r="I30" s="472" t="str">
        <f>IF(Basisgegevens!C296=1,BGPartnerAP,IF(Basisgegevens!D296=1,BGPartnerAG,"--"))</f>
        <v>--</v>
      </c>
      <c r="J30" s="1677">
        <f>Basisgegevens!G296</f>
        <v>0.15</v>
      </c>
      <c r="K30" s="220">
        <f t="shared" si="0"/>
        <v>0</v>
      </c>
      <c r="L30" s="179">
        <f t="shared" si="1"/>
        <v>0</v>
      </c>
      <c r="M30" s="176">
        <f t="shared" si="2"/>
        <v>0</v>
      </c>
      <c r="N30" s="1692">
        <f t="shared" si="3"/>
        <v>0</v>
      </c>
      <c r="O30" s="1693">
        <f t="shared" si="4"/>
        <v>0</v>
      </c>
      <c r="P30" s="1688">
        <f t="shared" si="5"/>
        <v>0</v>
      </c>
      <c r="Q30" s="176">
        <f t="shared" si="6"/>
        <v>0</v>
      </c>
      <c r="R30" s="1692">
        <f t="shared" si="7"/>
        <v>0</v>
      </c>
      <c r="S30" s="1693">
        <f t="shared" si="8"/>
        <v>0</v>
      </c>
      <c r="T30" s="1688">
        <f t="shared" si="9"/>
        <v>0</v>
      </c>
      <c r="U30" s="2983" t="str">
        <f t="shared" si="10"/>
        <v>--</v>
      </c>
      <c r="V30" s="2984"/>
      <c r="W30" s="2984"/>
      <c r="X30" s="2984"/>
      <c r="Y30" s="2984"/>
      <c r="Z30" s="2984"/>
      <c r="AA30" s="2984"/>
      <c r="AB30" s="2984"/>
      <c r="AC30" s="2985"/>
    </row>
    <row r="31" spans="1:29" ht="15" customHeight="1" x14ac:dyDescent="0.25">
      <c r="A31" s="855">
        <v>3</v>
      </c>
      <c r="B31" s="857" t="str">
        <f>IF(Basisgegevens!B297="","--",Basisgegevens!B297)</f>
        <v>--</v>
      </c>
      <c r="C31" s="147" t="str">
        <f>IF(Basisgegevens!E297="","--",Basisgegevens!E297)</f>
        <v>--</v>
      </c>
      <c r="D31" s="148" t="str">
        <f>IF(Basisgegevens!E314="","--",Basisgegevens!E314)</f>
        <v>--</v>
      </c>
      <c r="E31" s="858" t="str">
        <f>IF(D31="--","--",IF(AND($D31&gt;=21,BGKind21Wel="Nee"),"n.v.t",Basisgegevens!F314))</f>
        <v>--</v>
      </c>
      <c r="F31" s="1646" t="str">
        <f>IF(D31="--","--",IF(OR(AND($D31&gt;=21,BGKind21Wel="Nee"),Basisgegevens!$F314="Zelfvoorzienend"),"n.v.t",IF(OR(LEFT(Basisgegevens!$F314,3)="MBO",LEFT(Basisgegevens!$F314,6)="HBO/WO"),Basisgegevens!$J314,KAEigenAandeel/KAKindTotaalAantal)))</f>
        <v>--</v>
      </c>
      <c r="G31" s="1651">
        <f>IF(OR(E31="--",E31="???",F31="n.v.t"),0,Basisgegevens!F297)</f>
        <v>0</v>
      </c>
      <c r="H31" s="475">
        <f t="shared" si="11"/>
        <v>0</v>
      </c>
      <c r="I31" s="472" t="str">
        <f>IF(Basisgegevens!C297=1,BGPartnerAP,IF(Basisgegevens!D297=1,BGPartnerAG,"--"))</f>
        <v>--</v>
      </c>
      <c r="J31" s="1677">
        <f>Basisgegevens!G297</f>
        <v>0.15</v>
      </c>
      <c r="K31" s="220">
        <f t="shared" si="0"/>
        <v>0</v>
      </c>
      <c r="L31" s="179">
        <f t="shared" si="1"/>
        <v>0</v>
      </c>
      <c r="M31" s="176">
        <f t="shared" si="2"/>
        <v>0</v>
      </c>
      <c r="N31" s="1692">
        <f t="shared" si="3"/>
        <v>0</v>
      </c>
      <c r="O31" s="1693">
        <f t="shared" si="4"/>
        <v>0</v>
      </c>
      <c r="P31" s="1688">
        <f t="shared" si="5"/>
        <v>0</v>
      </c>
      <c r="Q31" s="176">
        <f t="shared" si="6"/>
        <v>0</v>
      </c>
      <c r="R31" s="1692">
        <f t="shared" si="7"/>
        <v>0</v>
      </c>
      <c r="S31" s="1693">
        <f t="shared" si="8"/>
        <v>0</v>
      </c>
      <c r="T31" s="1688">
        <f t="shared" si="9"/>
        <v>0</v>
      </c>
      <c r="U31" s="2983" t="str">
        <f t="shared" si="10"/>
        <v>--</v>
      </c>
      <c r="V31" s="2984"/>
      <c r="W31" s="2984"/>
      <c r="X31" s="2984"/>
      <c r="Y31" s="2984"/>
      <c r="Z31" s="2984"/>
      <c r="AA31" s="2984"/>
      <c r="AB31" s="2984"/>
      <c r="AC31" s="2985"/>
    </row>
    <row r="32" spans="1:29" ht="15" customHeight="1" x14ac:dyDescent="0.25">
      <c r="A32" s="855">
        <v>4</v>
      </c>
      <c r="B32" s="857" t="str">
        <f>IF(Basisgegevens!B298="","--",Basisgegevens!B298)</f>
        <v>--</v>
      </c>
      <c r="C32" s="147" t="str">
        <f>IF(Basisgegevens!E298="","--",Basisgegevens!E298)</f>
        <v>--</v>
      </c>
      <c r="D32" s="148" t="str">
        <f>IF(Basisgegevens!E315="","--",Basisgegevens!E315)</f>
        <v>--</v>
      </c>
      <c r="E32" s="858" t="str">
        <f>IF(D32="--","--",IF(AND($D32&gt;=21,BGKind21Wel="Nee"),"n.v.t",Basisgegevens!F315))</f>
        <v>--</v>
      </c>
      <c r="F32" s="1646" t="str">
        <f>IF(D32="--","--",IF(OR(AND($D32&gt;=21,BGKind21Wel="Nee"),Basisgegevens!$F315="Zelfvoorzienend"),"n.v.t",IF(OR(LEFT(Basisgegevens!$F315,3)="MBO",LEFT(Basisgegevens!$F315,6)="HBO/WO"),Basisgegevens!$J315,KAEigenAandeel/KAKindTotaalAantal)))</f>
        <v>--</v>
      </c>
      <c r="G32" s="1651">
        <f>IF(OR(E32="--",E32="???",F32="n.v.t"),0,Basisgegevens!F298)</f>
        <v>0</v>
      </c>
      <c r="H32" s="475">
        <f t="shared" si="11"/>
        <v>0</v>
      </c>
      <c r="I32" s="472" t="str">
        <f>IF(Basisgegevens!C298=1,BGPartnerAP,IF(Basisgegevens!D298=1,BGPartnerAG,"--"))</f>
        <v>--</v>
      </c>
      <c r="J32" s="1677">
        <f>Basisgegevens!G298</f>
        <v>0.15</v>
      </c>
      <c r="K32" s="220">
        <f t="shared" si="0"/>
        <v>0</v>
      </c>
      <c r="L32" s="179">
        <f t="shared" si="1"/>
        <v>0</v>
      </c>
      <c r="M32" s="176">
        <f t="shared" si="2"/>
        <v>0</v>
      </c>
      <c r="N32" s="1692">
        <f t="shared" si="3"/>
        <v>0</v>
      </c>
      <c r="O32" s="1693">
        <f t="shared" si="4"/>
        <v>0</v>
      </c>
      <c r="P32" s="1688">
        <f t="shared" si="5"/>
        <v>0</v>
      </c>
      <c r="Q32" s="176">
        <f t="shared" si="6"/>
        <v>0</v>
      </c>
      <c r="R32" s="1692">
        <f t="shared" si="7"/>
        <v>0</v>
      </c>
      <c r="S32" s="1693">
        <f t="shared" si="8"/>
        <v>0</v>
      </c>
      <c r="T32" s="1688">
        <f t="shared" si="9"/>
        <v>0</v>
      </c>
      <c r="U32" s="2983" t="str">
        <f t="shared" si="10"/>
        <v>--</v>
      </c>
      <c r="V32" s="2984"/>
      <c r="W32" s="2984"/>
      <c r="X32" s="2984"/>
      <c r="Y32" s="2984"/>
      <c r="Z32" s="2984"/>
      <c r="AA32" s="2984"/>
      <c r="AB32" s="2984"/>
      <c r="AC32" s="2985"/>
    </row>
    <row r="33" spans="1:29" ht="15" customHeight="1" x14ac:dyDescent="0.25">
      <c r="A33" s="855">
        <v>5</v>
      </c>
      <c r="B33" s="857" t="str">
        <f>IF(Basisgegevens!B299="","--",Basisgegevens!B299)</f>
        <v>--</v>
      </c>
      <c r="C33" s="147" t="str">
        <f>IF(Basisgegevens!E299="","--",Basisgegevens!E299)</f>
        <v>--</v>
      </c>
      <c r="D33" s="148" t="str">
        <f>IF(Basisgegevens!E316="","--",Basisgegevens!E316)</f>
        <v>--</v>
      </c>
      <c r="E33" s="858" t="str">
        <f>IF(D33="--","--",IF(AND($D33&gt;=21,BGKind21Wel="Nee"),"n.v.t",Basisgegevens!F316))</f>
        <v>--</v>
      </c>
      <c r="F33" s="1646" t="str">
        <f>IF(D33="--","--",IF(OR(AND($D33&gt;=21,BGKind21Wel="Nee"),Basisgegevens!$F316="Zelfvoorzienend"),"n.v.t",IF(OR(LEFT(Basisgegevens!$F316,3)="MBO",LEFT(Basisgegevens!$F316,6)="HBO/WO"),Basisgegevens!$J316,KAEigenAandeel/KAKindTotaalAantal)))</f>
        <v>--</v>
      </c>
      <c r="G33" s="1651">
        <f>IF(OR(E33="--",E33="???",F33="n.v.t"),0,Basisgegevens!F299)</f>
        <v>0</v>
      </c>
      <c r="H33" s="475">
        <f t="shared" si="11"/>
        <v>0</v>
      </c>
      <c r="I33" s="472" t="str">
        <f>IF(Basisgegevens!C299=1,BGPartnerAP,IF(Basisgegevens!D299=1,BGPartnerAG,"--"))</f>
        <v>--</v>
      </c>
      <c r="J33" s="1677">
        <f>Basisgegevens!G299</f>
        <v>0.15</v>
      </c>
      <c r="K33" s="220">
        <f t="shared" si="0"/>
        <v>0</v>
      </c>
      <c r="L33" s="179">
        <f t="shared" si="1"/>
        <v>0</v>
      </c>
      <c r="M33" s="176">
        <f t="shared" si="2"/>
        <v>0</v>
      </c>
      <c r="N33" s="1692">
        <f t="shared" si="3"/>
        <v>0</v>
      </c>
      <c r="O33" s="1693">
        <f t="shared" si="4"/>
        <v>0</v>
      </c>
      <c r="P33" s="1688">
        <f t="shared" si="5"/>
        <v>0</v>
      </c>
      <c r="Q33" s="176">
        <f t="shared" si="6"/>
        <v>0</v>
      </c>
      <c r="R33" s="1692">
        <f t="shared" si="7"/>
        <v>0</v>
      </c>
      <c r="S33" s="1693">
        <f t="shared" si="8"/>
        <v>0</v>
      </c>
      <c r="T33" s="1688">
        <f t="shared" si="9"/>
        <v>0</v>
      </c>
      <c r="U33" s="2983" t="str">
        <f t="shared" si="10"/>
        <v>--</v>
      </c>
      <c r="V33" s="2984"/>
      <c r="W33" s="2984"/>
      <c r="X33" s="2984"/>
      <c r="Y33" s="2984"/>
      <c r="Z33" s="2984"/>
      <c r="AA33" s="2984"/>
      <c r="AB33" s="2984"/>
      <c r="AC33" s="2985"/>
    </row>
    <row r="34" spans="1:29" ht="15" customHeight="1" x14ac:dyDescent="0.25">
      <c r="A34" s="855">
        <v>6</v>
      </c>
      <c r="B34" s="857" t="str">
        <f>IF(Basisgegevens!B300="","--",Basisgegevens!B300)</f>
        <v>--</v>
      </c>
      <c r="C34" s="147" t="str">
        <f>IF(Basisgegevens!E300="","--",Basisgegevens!E300)</f>
        <v>--</v>
      </c>
      <c r="D34" s="148" t="str">
        <f>IF(Basisgegevens!E317="","--",Basisgegevens!E317)</f>
        <v>--</v>
      </c>
      <c r="E34" s="858" t="str">
        <f>IF(D34="--","--",IF(AND($D34&gt;=21,BGKind21Wel="Nee"),"n.v.t",Basisgegevens!F317))</f>
        <v>--</v>
      </c>
      <c r="F34" s="1646" t="str">
        <f>IF(D34="--","--",IF(OR(AND($D34&gt;=21,BGKind21Wel="Nee"),Basisgegevens!$F317="Zelfvoorzienend"),"n.v.t",IF(OR(LEFT(Basisgegevens!$F317,3)="MBO",LEFT(Basisgegevens!$F317,6)="HBO/WO"),Basisgegevens!$J317,KAEigenAandeel/KAKindTotaalAantal)))</f>
        <v>--</v>
      </c>
      <c r="G34" s="1651">
        <f>IF(OR(E34="--",E34="???",F34="n.v.t"),0,Basisgegevens!F300)</f>
        <v>0</v>
      </c>
      <c r="H34" s="475">
        <f t="shared" si="11"/>
        <v>0</v>
      </c>
      <c r="I34" s="472" t="str">
        <f>IF(Basisgegevens!C300=1,BGPartnerAP,IF(Basisgegevens!D300=1,BGPartnerAG,"--"))</f>
        <v>--</v>
      </c>
      <c r="J34" s="1677">
        <f>Basisgegevens!G300</f>
        <v>0.15</v>
      </c>
      <c r="K34" s="220">
        <f t="shared" si="0"/>
        <v>0</v>
      </c>
      <c r="L34" s="179">
        <f t="shared" si="1"/>
        <v>0</v>
      </c>
      <c r="M34" s="176">
        <f t="shared" si="2"/>
        <v>0</v>
      </c>
      <c r="N34" s="1692">
        <f t="shared" si="3"/>
        <v>0</v>
      </c>
      <c r="O34" s="1693">
        <f t="shared" si="4"/>
        <v>0</v>
      </c>
      <c r="P34" s="1688">
        <f t="shared" si="5"/>
        <v>0</v>
      </c>
      <c r="Q34" s="176">
        <f t="shared" si="6"/>
        <v>0</v>
      </c>
      <c r="R34" s="1692">
        <f t="shared" si="7"/>
        <v>0</v>
      </c>
      <c r="S34" s="1693">
        <f t="shared" si="8"/>
        <v>0</v>
      </c>
      <c r="T34" s="1688">
        <f t="shared" si="9"/>
        <v>0</v>
      </c>
      <c r="U34" s="2983" t="str">
        <f t="shared" si="10"/>
        <v>--</v>
      </c>
      <c r="V34" s="2984"/>
      <c r="W34" s="2984"/>
      <c r="X34" s="2984"/>
      <c r="Y34" s="2984"/>
      <c r="Z34" s="2984"/>
      <c r="AA34" s="2984"/>
      <c r="AB34" s="2984"/>
      <c r="AC34" s="2985"/>
    </row>
    <row r="35" spans="1:29" ht="15" customHeight="1" x14ac:dyDescent="0.25">
      <c r="A35" s="855">
        <v>7</v>
      </c>
      <c r="B35" s="857" t="str">
        <f>IF(Basisgegevens!B301="","--",Basisgegevens!B301)</f>
        <v>--</v>
      </c>
      <c r="C35" s="147" t="str">
        <f>IF(Basisgegevens!E301="","--",Basisgegevens!E301)</f>
        <v>--</v>
      </c>
      <c r="D35" s="148" t="str">
        <f>IF(Basisgegevens!E318="","--",Basisgegevens!E318)</f>
        <v>--</v>
      </c>
      <c r="E35" s="858" t="str">
        <f>IF(D35="--","--",IF(AND($D35&gt;=21,BGKind21Wel="Nee"),"n.v.t",Basisgegevens!F318))</f>
        <v>--</v>
      </c>
      <c r="F35" s="1646" t="str">
        <f>IF(D35="--","--",IF(OR(AND($D35&gt;=21,BGKind21Wel="Nee"),Basisgegevens!$F318="Zelfvoorzienend"),"n.v.t",IF(OR(LEFT(Basisgegevens!$F318,3)="MBO",LEFT(Basisgegevens!$F318,6)="HBO/WO"),Basisgegevens!$J318,KAEigenAandeel/KAKindTotaalAantal)))</f>
        <v>--</v>
      </c>
      <c r="G35" s="1651">
        <f>IF(OR(E35="--",E35="???",F35="n.v.t"),0,Basisgegevens!F301)</f>
        <v>0</v>
      </c>
      <c r="H35" s="475">
        <f>IF(OR(F35="n.v.t",F35="--"),0,F35+G35)</f>
        <v>0</v>
      </c>
      <c r="I35" s="472" t="str">
        <f>IF(Basisgegevens!C301=1,BGPartnerAP,IF(Basisgegevens!D301=1,BGPartnerAG,"--"))</f>
        <v>--</v>
      </c>
      <c r="J35" s="1677">
        <f>Basisgegevens!G301</f>
        <v>0.15</v>
      </c>
      <c r="K35" s="220">
        <f t="shared" si="0"/>
        <v>0</v>
      </c>
      <c r="L35" s="179">
        <f t="shared" si="1"/>
        <v>0</v>
      </c>
      <c r="M35" s="176">
        <f t="shared" si="2"/>
        <v>0</v>
      </c>
      <c r="N35" s="1692">
        <f t="shared" si="3"/>
        <v>0</v>
      </c>
      <c r="O35" s="1693">
        <f t="shared" si="4"/>
        <v>0</v>
      </c>
      <c r="P35" s="1688">
        <f t="shared" si="5"/>
        <v>0</v>
      </c>
      <c r="Q35" s="176">
        <f t="shared" si="6"/>
        <v>0</v>
      </c>
      <c r="R35" s="1692">
        <f t="shared" si="7"/>
        <v>0</v>
      </c>
      <c r="S35" s="1693">
        <f t="shared" si="8"/>
        <v>0</v>
      </c>
      <c r="T35" s="1688">
        <f t="shared" si="9"/>
        <v>0</v>
      </c>
      <c r="U35" s="2983" t="str">
        <f t="shared" si="10"/>
        <v>--</v>
      </c>
      <c r="V35" s="2984"/>
      <c r="W35" s="2984"/>
      <c r="X35" s="2984"/>
      <c r="Y35" s="2984"/>
      <c r="Z35" s="2984"/>
      <c r="AA35" s="2984"/>
      <c r="AB35" s="2984"/>
      <c r="AC35" s="2985"/>
    </row>
    <row r="36" spans="1:29" ht="15" customHeight="1" x14ac:dyDescent="0.25">
      <c r="A36" s="855">
        <v>8</v>
      </c>
      <c r="B36" s="857" t="str">
        <f>IF(Basisgegevens!B302="","--",Basisgegevens!B302)</f>
        <v>--</v>
      </c>
      <c r="C36" s="147" t="str">
        <f>IF(Basisgegevens!E302="","--",Basisgegevens!E302)</f>
        <v>--</v>
      </c>
      <c r="D36" s="148" t="str">
        <f>IF(Basisgegevens!E319="","--",Basisgegevens!E319)</f>
        <v>--</v>
      </c>
      <c r="E36" s="858" t="str">
        <f>IF(D36="--","--",IF(AND($D36&gt;=21,BGKind21Wel="Nee"),"n.v.t",Basisgegevens!F319))</f>
        <v>--</v>
      </c>
      <c r="F36" s="1646" t="str">
        <f>IF(D36="--","--",IF(OR(AND($D36&gt;=21,BGKind21Wel="Nee"),Basisgegevens!$F319="Zelfvoorzienend"),"n.v.t",IF(OR(LEFT(Basisgegevens!$F319,3)="MBO",LEFT(Basisgegevens!$F319,6)="HBO/WO"),Basisgegevens!$J319,KAEigenAandeel/KAKindTotaalAantal)))</f>
        <v>--</v>
      </c>
      <c r="G36" s="1651">
        <f>IF(OR(E36="--",E36="???",F36="n.v.t"),0,Basisgegevens!F302)</f>
        <v>0</v>
      </c>
      <c r="H36" s="475">
        <f t="shared" ref="H36:H40" si="12">IF(OR(F36="n.v.t",F36="--"),0,F36+G36)</f>
        <v>0</v>
      </c>
      <c r="I36" s="472" t="str">
        <f>IF(Basisgegevens!C302=1,BGPartnerAP,IF(Basisgegevens!D302=1,BGPartnerAG,"--"))</f>
        <v>--</v>
      </c>
      <c r="J36" s="1677">
        <f>Basisgegevens!G302</f>
        <v>0.15</v>
      </c>
      <c r="K36" s="220">
        <f t="shared" si="0"/>
        <v>0</v>
      </c>
      <c r="L36" s="179">
        <f t="shared" si="1"/>
        <v>0</v>
      </c>
      <c r="M36" s="176">
        <f t="shared" si="2"/>
        <v>0</v>
      </c>
      <c r="N36" s="1692">
        <f t="shared" si="3"/>
        <v>0</v>
      </c>
      <c r="O36" s="1693">
        <f t="shared" si="4"/>
        <v>0</v>
      </c>
      <c r="P36" s="1688">
        <f t="shared" si="5"/>
        <v>0</v>
      </c>
      <c r="Q36" s="176">
        <f t="shared" si="6"/>
        <v>0</v>
      </c>
      <c r="R36" s="1692">
        <f t="shared" si="7"/>
        <v>0</v>
      </c>
      <c r="S36" s="1693">
        <f t="shared" si="8"/>
        <v>0</v>
      </c>
      <c r="T36" s="1688">
        <f t="shared" si="9"/>
        <v>0</v>
      </c>
      <c r="U36" s="2983" t="str">
        <f t="shared" si="10"/>
        <v>--</v>
      </c>
      <c r="V36" s="2984"/>
      <c r="W36" s="2984"/>
      <c r="X36" s="2984"/>
      <c r="Y36" s="2984"/>
      <c r="Z36" s="2984"/>
      <c r="AA36" s="2984"/>
      <c r="AB36" s="2984"/>
      <c r="AC36" s="2985"/>
    </row>
    <row r="37" spans="1:29" ht="15" customHeight="1" x14ac:dyDescent="0.25">
      <c r="A37" s="855">
        <v>9</v>
      </c>
      <c r="B37" s="857" t="str">
        <f>IF(Basisgegevens!B303="","--",Basisgegevens!B303)</f>
        <v>--</v>
      </c>
      <c r="C37" s="147" t="str">
        <f>IF(Basisgegevens!E303="","--",Basisgegevens!E303)</f>
        <v>--</v>
      </c>
      <c r="D37" s="148" t="str">
        <f>IF(Basisgegevens!E320="","--",Basisgegevens!E320)</f>
        <v>--</v>
      </c>
      <c r="E37" s="858" t="str">
        <f>IF(D37="--","--",IF(AND($D37&gt;=21,BGKind21Wel="Nee"),"n.v.t",Basisgegevens!F320))</f>
        <v>--</v>
      </c>
      <c r="F37" s="1646" t="str">
        <f>IF(D37="--","--",IF(OR(AND($D37&gt;=21,BGKind21Wel="Nee"),Basisgegevens!$F320="Zelfvoorzienend"),"n.v.t",IF(OR(LEFT(Basisgegevens!$F320,3)="MBO",LEFT(Basisgegevens!$F320,6)="HBO/WO"),Basisgegevens!$J320,KAEigenAandeel/KAKindTotaalAantal)))</f>
        <v>--</v>
      </c>
      <c r="G37" s="1651">
        <f>IF(OR(E37="--",E37="???",F37="n.v.t"),0,Basisgegevens!F303)</f>
        <v>0</v>
      </c>
      <c r="H37" s="475">
        <f t="shared" si="12"/>
        <v>0</v>
      </c>
      <c r="I37" s="472" t="str">
        <f>IF(Basisgegevens!C303=1,BGPartnerAP,IF(Basisgegevens!D303=1,BGPartnerAG,"--"))</f>
        <v>--</v>
      </c>
      <c r="J37" s="1677">
        <f>Basisgegevens!G303</f>
        <v>0.15</v>
      </c>
      <c r="K37" s="220">
        <f t="shared" si="0"/>
        <v>0</v>
      </c>
      <c r="L37" s="179">
        <f t="shared" si="1"/>
        <v>0</v>
      </c>
      <c r="M37" s="176">
        <f t="shared" si="2"/>
        <v>0</v>
      </c>
      <c r="N37" s="1692">
        <f t="shared" si="3"/>
        <v>0</v>
      </c>
      <c r="O37" s="1693">
        <f t="shared" si="4"/>
        <v>0</v>
      </c>
      <c r="P37" s="1688">
        <f t="shared" si="5"/>
        <v>0</v>
      </c>
      <c r="Q37" s="176">
        <f t="shared" si="6"/>
        <v>0</v>
      </c>
      <c r="R37" s="1692">
        <f t="shared" si="7"/>
        <v>0</v>
      </c>
      <c r="S37" s="1693">
        <f t="shared" si="8"/>
        <v>0</v>
      </c>
      <c r="T37" s="1688">
        <f t="shared" si="9"/>
        <v>0</v>
      </c>
      <c r="U37" s="2983" t="str">
        <f t="shared" si="10"/>
        <v>--</v>
      </c>
      <c r="V37" s="2984"/>
      <c r="W37" s="2984"/>
      <c r="X37" s="2984"/>
      <c r="Y37" s="2984"/>
      <c r="Z37" s="2984"/>
      <c r="AA37" s="2984"/>
      <c r="AB37" s="2984"/>
      <c r="AC37" s="2985"/>
    </row>
    <row r="38" spans="1:29" ht="15" customHeight="1" x14ac:dyDescent="0.25">
      <c r="A38" s="855">
        <v>10</v>
      </c>
      <c r="B38" s="857" t="str">
        <f>IF(Basisgegevens!B304="","--",Basisgegevens!B304)</f>
        <v>--</v>
      </c>
      <c r="C38" s="147" t="str">
        <f>IF(Basisgegevens!E304="","--",Basisgegevens!E304)</f>
        <v>--</v>
      </c>
      <c r="D38" s="148" t="str">
        <f>IF(Basisgegevens!E321="","--",Basisgegevens!E321)</f>
        <v>--</v>
      </c>
      <c r="E38" s="858" t="str">
        <f>IF(D38="--","--",IF(AND($D38&gt;=21,BGKind21Wel="Nee"),"n.v.t",Basisgegevens!F321))</f>
        <v>--</v>
      </c>
      <c r="F38" s="1646" t="str">
        <f>IF(D38="--","--",IF(OR(AND($D38&gt;=21,BGKind21Wel="Nee"),Basisgegevens!$F321="Zelfvoorzienend"),"n.v.t",IF(OR(LEFT(Basisgegevens!$F321,3)="MBO",LEFT(Basisgegevens!$F321,6)="HBO/WO"),Basisgegevens!$J321,KAEigenAandeel/KAKindTotaalAantal)))</f>
        <v>--</v>
      </c>
      <c r="G38" s="1651">
        <f>IF(OR(E38="--",E38="???",F38="n.v.t"),0,Basisgegevens!F304)</f>
        <v>0</v>
      </c>
      <c r="H38" s="475">
        <f t="shared" si="12"/>
        <v>0</v>
      </c>
      <c r="I38" s="472" t="str">
        <f>IF(Basisgegevens!C304=1,BGPartnerAP,IF(Basisgegevens!D304=1,BGPartnerAG,"--"))</f>
        <v>--</v>
      </c>
      <c r="J38" s="1677">
        <f>Basisgegevens!G304</f>
        <v>0.15</v>
      </c>
      <c r="K38" s="220">
        <f t="shared" si="0"/>
        <v>0</v>
      </c>
      <c r="L38" s="179">
        <f t="shared" si="1"/>
        <v>0</v>
      </c>
      <c r="M38" s="176">
        <f t="shared" si="2"/>
        <v>0</v>
      </c>
      <c r="N38" s="1692">
        <f t="shared" si="3"/>
        <v>0</v>
      </c>
      <c r="O38" s="1693">
        <f t="shared" si="4"/>
        <v>0</v>
      </c>
      <c r="P38" s="1688">
        <f t="shared" si="5"/>
        <v>0</v>
      </c>
      <c r="Q38" s="176">
        <f t="shared" si="6"/>
        <v>0</v>
      </c>
      <c r="R38" s="1692">
        <f t="shared" si="7"/>
        <v>0</v>
      </c>
      <c r="S38" s="1693">
        <f t="shared" si="8"/>
        <v>0</v>
      </c>
      <c r="T38" s="1688">
        <f t="shared" si="9"/>
        <v>0</v>
      </c>
      <c r="U38" s="2983" t="str">
        <f t="shared" si="10"/>
        <v>--</v>
      </c>
      <c r="V38" s="2984"/>
      <c r="W38" s="2984"/>
      <c r="X38" s="2984"/>
      <c r="Y38" s="2984"/>
      <c r="Z38" s="2984"/>
      <c r="AA38" s="2984"/>
      <c r="AB38" s="2984"/>
      <c r="AC38" s="2985"/>
    </row>
    <row r="39" spans="1:29" ht="15" customHeight="1" x14ac:dyDescent="0.25">
      <c r="A39" s="855">
        <v>11</v>
      </c>
      <c r="B39" s="857" t="str">
        <f>IF(Basisgegevens!B305="","--",Basisgegevens!B305)</f>
        <v>--</v>
      </c>
      <c r="C39" s="147" t="str">
        <f>IF(Basisgegevens!E305="","--",Basisgegevens!E305)</f>
        <v>--</v>
      </c>
      <c r="D39" s="148" t="str">
        <f>IF(Basisgegevens!E322="","--",Basisgegevens!E322)</f>
        <v>--</v>
      </c>
      <c r="E39" s="858" t="str">
        <f>IF(D39="--","--",IF(AND($D39&gt;=21,BGKind21Wel="Nee"),"n.v.t",Basisgegevens!F322))</f>
        <v>--</v>
      </c>
      <c r="F39" s="1646" t="str">
        <f>IF(D39="--","--",IF(OR(AND($D39&gt;=21,BGKind21Wel="Nee"),Basisgegevens!$F322="Zelfvoorzienend"),"n.v.t",IF(OR(LEFT(Basisgegevens!$F322,3)="MBO",LEFT(Basisgegevens!$F322,6)="HBO/WO"),Basisgegevens!$J322,KAEigenAandeel/KAKindTotaalAantal)))</f>
        <v>--</v>
      </c>
      <c r="G39" s="1651">
        <f>IF(OR(E39="--",E39="???",F39="n.v.t"),0,Basisgegevens!F305)</f>
        <v>0</v>
      </c>
      <c r="H39" s="475">
        <f t="shared" si="12"/>
        <v>0</v>
      </c>
      <c r="I39" s="472" t="str">
        <f>IF(Basisgegevens!C305=1,BGPartnerAP,IF(Basisgegevens!D305=1,BGPartnerAG,"--"))</f>
        <v>--</v>
      </c>
      <c r="J39" s="1677">
        <f>Basisgegevens!G305</f>
        <v>0.15</v>
      </c>
      <c r="K39" s="220">
        <f t="shared" si="0"/>
        <v>0</v>
      </c>
      <c r="L39" s="179">
        <f t="shared" si="1"/>
        <v>0</v>
      </c>
      <c r="M39" s="176">
        <f t="shared" si="2"/>
        <v>0</v>
      </c>
      <c r="N39" s="1692">
        <f t="shared" si="3"/>
        <v>0</v>
      </c>
      <c r="O39" s="1693">
        <f t="shared" si="4"/>
        <v>0</v>
      </c>
      <c r="P39" s="1688">
        <f t="shared" si="5"/>
        <v>0</v>
      </c>
      <c r="Q39" s="176">
        <f t="shared" si="6"/>
        <v>0</v>
      </c>
      <c r="R39" s="1692">
        <f t="shared" si="7"/>
        <v>0</v>
      </c>
      <c r="S39" s="1693">
        <f t="shared" si="8"/>
        <v>0</v>
      </c>
      <c r="T39" s="1688">
        <f t="shared" si="9"/>
        <v>0</v>
      </c>
      <c r="U39" s="2983" t="str">
        <f t="shared" si="10"/>
        <v>--</v>
      </c>
      <c r="V39" s="2984"/>
      <c r="W39" s="2984"/>
      <c r="X39" s="2984"/>
      <c r="Y39" s="2984"/>
      <c r="Z39" s="2984"/>
      <c r="AA39" s="2984"/>
      <c r="AB39" s="2984"/>
      <c r="AC39" s="2985"/>
    </row>
    <row r="40" spans="1:29" ht="15" customHeight="1" thickBot="1" x14ac:dyDescent="0.3">
      <c r="A40" s="856">
        <v>12</v>
      </c>
      <c r="B40" s="859" t="str">
        <f>IF(Basisgegevens!B306="","--",Basisgegevens!B306)</f>
        <v>--</v>
      </c>
      <c r="C40" s="149" t="str">
        <f>IF(Basisgegevens!E306="","--",Basisgegevens!E306)</f>
        <v>--</v>
      </c>
      <c r="D40" s="1022" t="str">
        <f>IF(Basisgegevens!E323="","--",Basisgegevens!E323)</f>
        <v>--</v>
      </c>
      <c r="E40" s="1023" t="str">
        <f>IF(D40="--","--",IF(AND($D40&gt;=21,BGKind21Wel="Nee"),"n.v.t",Basisgegevens!F323))</f>
        <v>--</v>
      </c>
      <c r="F40" s="1647" t="str">
        <f>IF(D40="--","--",IF(OR(AND($D40&gt;=21,BGKind21Wel="Nee"),Basisgegevens!$F323="Zelfvoorzienend"),"n.v.t",IF(OR(LEFT(Basisgegevens!$F323,3)="MBO",LEFT(Basisgegevens!$F323,6)="HBO/WO"),Basisgegevens!$J323,KAEigenAandeel/KAKindTotaalAantal)))</f>
        <v>--</v>
      </c>
      <c r="G40" s="1652">
        <f>IF(OR(E40="--",E40="???",F40="n.v.t"),0,Basisgegevens!F306)</f>
        <v>0</v>
      </c>
      <c r="H40" s="1024">
        <f t="shared" si="12"/>
        <v>0</v>
      </c>
      <c r="I40" s="473" t="str">
        <f>IF(Basisgegevens!C306=1,BGPartnerAP,IF(Basisgegevens!D306=1,BGPartnerAG,"--"))</f>
        <v>--</v>
      </c>
      <c r="J40" s="1678">
        <f>Basisgegevens!G306</f>
        <v>0.15</v>
      </c>
      <c r="K40" s="220">
        <f t="shared" si="0"/>
        <v>0</v>
      </c>
      <c r="L40" s="179">
        <f t="shared" si="1"/>
        <v>0</v>
      </c>
      <c r="M40" s="144">
        <f t="shared" si="2"/>
        <v>0</v>
      </c>
      <c r="N40" s="1694">
        <f t="shared" si="3"/>
        <v>0</v>
      </c>
      <c r="O40" s="1695">
        <f t="shared" si="4"/>
        <v>0</v>
      </c>
      <c r="P40" s="1689">
        <f t="shared" si="5"/>
        <v>0</v>
      </c>
      <c r="Q40" s="144">
        <f t="shared" si="6"/>
        <v>0</v>
      </c>
      <c r="R40" s="1694">
        <f t="shared" si="7"/>
        <v>0</v>
      </c>
      <c r="S40" s="1695">
        <f t="shared" si="8"/>
        <v>0</v>
      </c>
      <c r="T40" s="1689">
        <f t="shared" si="9"/>
        <v>0</v>
      </c>
      <c r="U40" s="2986" t="str">
        <f t="shared" si="10"/>
        <v>--</v>
      </c>
      <c r="V40" s="2987"/>
      <c r="W40" s="2987"/>
      <c r="X40" s="2987"/>
      <c r="Y40" s="2987"/>
      <c r="Z40" s="2987"/>
      <c r="AA40" s="2987"/>
      <c r="AB40" s="2987"/>
      <c r="AC40" s="2988"/>
    </row>
    <row r="41" spans="1:29" ht="15" customHeight="1" thickBot="1" x14ac:dyDescent="0.3">
      <c r="D41" s="820" t="s">
        <v>135</v>
      </c>
      <c r="E41" s="1025">
        <f>SUM(E29:E40)</f>
        <v>0</v>
      </c>
      <c r="F41" s="183">
        <f t="shared" ref="F41" si="13">SUM(F29:F40)</f>
        <v>0</v>
      </c>
      <c r="G41" s="1026">
        <f>SUM(G29:G40)</f>
        <v>0</v>
      </c>
      <c r="H41" s="130">
        <f>SUM(H29:H40)</f>
        <v>0</v>
      </c>
      <c r="K41" s="175">
        <f t="shared" ref="K41:T41" si="14">SUM(K29:K40)</f>
        <v>0</v>
      </c>
      <c r="L41" s="177">
        <f t="shared" si="14"/>
        <v>0</v>
      </c>
      <c r="M41" s="183">
        <f t="shared" si="14"/>
        <v>0</v>
      </c>
      <c r="N41" s="181">
        <f>SUM(N29:N40)</f>
        <v>0</v>
      </c>
      <c r="O41" s="182">
        <f>SUM(O29:O40)</f>
        <v>0</v>
      </c>
      <c r="P41" s="180">
        <f t="shared" si="14"/>
        <v>0</v>
      </c>
      <c r="Q41" s="183">
        <f t="shared" si="14"/>
        <v>0</v>
      </c>
      <c r="R41" s="181">
        <f>SUM(R29:R40)</f>
        <v>0</v>
      </c>
      <c r="S41" s="182">
        <f>SUM(S29:S40)</f>
        <v>0</v>
      </c>
      <c r="T41" s="178">
        <f t="shared" si="14"/>
        <v>0</v>
      </c>
    </row>
    <row r="42" spans="1:29" ht="15" customHeight="1" thickBot="1" x14ac:dyDescent="0.3">
      <c r="N42" s="219" t="s">
        <v>323</v>
      </c>
      <c r="O42" s="218" t="s">
        <v>322</v>
      </c>
      <c r="P42" s="219" t="s">
        <v>324</v>
      </c>
      <c r="R42" s="218" t="s">
        <v>325</v>
      </c>
      <c r="S42" s="219" t="s">
        <v>322</v>
      </c>
      <c r="T42" s="219" t="s">
        <v>324</v>
      </c>
    </row>
    <row r="43" spans="1:29" ht="15" customHeight="1" thickBot="1" x14ac:dyDescent="0.3">
      <c r="A43" s="2468" t="str">
        <f>Basisgegevens!B291</f>
        <v>Behoefte van studerend kind vanaf 21 jaar toch meenemen in de kinderalimentatie berekening?</v>
      </c>
      <c r="B43" s="2457"/>
      <c r="C43" s="2457"/>
      <c r="D43" s="2457"/>
      <c r="E43" s="2458"/>
      <c r="F43" s="2467" t="str">
        <f>BGKind21Wel</f>
        <v>Nee</v>
      </c>
      <c r="N43" s="2995" t="s">
        <v>331</v>
      </c>
      <c r="O43" s="2996"/>
      <c r="P43" s="2997"/>
      <c r="R43" s="2995" t="s">
        <v>331</v>
      </c>
      <c r="S43" s="2996"/>
      <c r="T43" s="2997"/>
    </row>
    <row r="44" spans="1:29" ht="15" customHeight="1" thickBot="1" x14ac:dyDescent="0.3"/>
    <row r="45" spans="1:29" ht="15" customHeight="1" thickBot="1" x14ac:dyDescent="0.3">
      <c r="B45" s="691"/>
      <c r="G45" s="1397" t="s">
        <v>585</v>
      </c>
      <c r="H45" s="1398"/>
      <c r="I45" s="1398"/>
      <c r="J45" s="1398"/>
      <c r="K45" s="1398"/>
      <c r="L45" s="1399"/>
      <c r="M45" s="1398"/>
      <c r="N45" s="1398"/>
      <c r="O45" s="1398"/>
      <c r="P45" s="1398"/>
      <c r="Q45" s="1398"/>
      <c r="R45" s="1398"/>
      <c r="S45" s="1398"/>
      <c r="T45" s="1400"/>
    </row>
  </sheetData>
  <sheetProtection algorithmName="SHA-512" hashValue="nnUDioum1bdanzamQkVmMoGdfvd3shifliBPGJiEcVsu5KUA8yMFmFBY8utjbtEdJKSsSYlyjcN+dfjS/jNiHQ==" saltValue="wpPHbuch9RxXB+CleMPRlA==" spinCount="100000" sheet="1" objects="1" scenarios="1"/>
  <mergeCells count="56">
    <mergeCell ref="V3:V5"/>
    <mergeCell ref="J5:K5"/>
    <mergeCell ref="H6:I6"/>
    <mergeCell ref="J16:J17"/>
    <mergeCell ref="F25:F28"/>
    <mergeCell ref="G25:G28"/>
    <mergeCell ref="I26:I28"/>
    <mergeCell ref="H25:H28"/>
    <mergeCell ref="E16:E17"/>
    <mergeCell ref="F19:H19"/>
    <mergeCell ref="L5:L6"/>
    <mergeCell ref="K25:K28"/>
    <mergeCell ref="J25:J28"/>
    <mergeCell ref="L25:L28"/>
    <mergeCell ref="H13:I13"/>
    <mergeCell ref="N43:P43"/>
    <mergeCell ref="R43:T43"/>
    <mergeCell ref="R25:R28"/>
    <mergeCell ref="M24:P24"/>
    <mergeCell ref="Q24:T24"/>
    <mergeCell ref="T25:T28"/>
    <mergeCell ref="M25:M28"/>
    <mergeCell ref="O25:O28"/>
    <mergeCell ref="S25:S28"/>
    <mergeCell ref="P25:P28"/>
    <mergeCell ref="N25:N28"/>
    <mergeCell ref="Q25:Q28"/>
    <mergeCell ref="U39:AC39"/>
    <mergeCell ref="U40:AC40"/>
    <mergeCell ref="U28:AC28"/>
    <mergeCell ref="U32:AC32"/>
    <mergeCell ref="U33:AC33"/>
    <mergeCell ref="U34:AC34"/>
    <mergeCell ref="U35:AC35"/>
    <mergeCell ref="U36:AC36"/>
    <mergeCell ref="U29:AC29"/>
    <mergeCell ref="U30:AC30"/>
    <mergeCell ref="U31:AC31"/>
    <mergeCell ref="U37:AC37"/>
    <mergeCell ref="U38:AC38"/>
    <mergeCell ref="B23:C23"/>
    <mergeCell ref="B17:C17"/>
    <mergeCell ref="M5:M10"/>
    <mergeCell ref="E6:E10"/>
    <mergeCell ref="J12:O12"/>
    <mergeCell ref="B18:C18"/>
    <mergeCell ref="B19:C19"/>
    <mergeCell ref="B20:C20"/>
    <mergeCell ref="B21:C21"/>
    <mergeCell ref="B22:C22"/>
    <mergeCell ref="B12:D12"/>
    <mergeCell ref="H7:I7"/>
    <mergeCell ref="H8:I8"/>
    <mergeCell ref="H9:I9"/>
    <mergeCell ref="H10:I10"/>
    <mergeCell ref="D16:D17"/>
  </mergeCells>
  <conditionalFormatting sqref="E29:E40">
    <cfRule type="cellIs" dxfId="16" priority="3" operator="equal">
      <formula>"???"</formula>
    </cfRule>
  </conditionalFormatting>
  <conditionalFormatting sqref="F41">
    <cfRule type="cellIs" dxfId="15" priority="1" operator="lessThan">
      <formula>0</formula>
    </cfRule>
  </conditionalFormatting>
  <conditionalFormatting sqref="K18:U21">
    <cfRule type="expression" dxfId="14" priority="2467">
      <formula>$M$11&lt;&gt;$J18</formula>
    </cfRule>
    <cfRule type="cellIs" dxfId="13" priority="2468" operator="equal">
      <formula>$D$19</formula>
    </cfRule>
    <cfRule type="cellIs" dxfId="12" priority="2469" operator="equal">
      <formula>$E$19</formula>
    </cfRule>
  </conditionalFormatting>
  <conditionalFormatting sqref="U10 K41:T41">
    <cfRule type="cellIs" dxfId="11" priority="13" operator="lessThan">
      <formula>0</formula>
    </cfRule>
  </conditionalFormatting>
  <pageMargins left="0.70866141732283472" right="0.70866141732283472" top="0.74803149606299213" bottom="0.74803149606299213" header="0.31496062992125984" footer="0.31496062992125984"/>
  <pageSetup paperSize="8" scale="85"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tabColor theme="5" tint="0.39997558519241921"/>
  </sheetPr>
  <dimension ref="A1:G70"/>
  <sheetViews>
    <sheetView showGridLines="0" zoomScale="80" zoomScaleNormal="80" workbookViewId="0">
      <pane xSplit="1" ySplit="1" topLeftCell="B2" activePane="bottomRight" state="frozen"/>
      <selection pane="topRight" activeCell="B1" sqref="B1"/>
      <selection pane="bottomLeft" activeCell="A2" sqref="A2"/>
      <selection pane="bottomRight"/>
    </sheetView>
  </sheetViews>
  <sheetFormatPr defaultColWidth="8.85546875" defaultRowHeight="15" x14ac:dyDescent="0.25"/>
  <cols>
    <col min="1" max="1" width="8.85546875" style="247"/>
    <col min="2" max="2" width="25.7109375" customWidth="1"/>
    <col min="3" max="3" width="20.7109375" customWidth="1"/>
    <col min="4" max="4" width="30.7109375" customWidth="1"/>
    <col min="5" max="6" width="15.7109375" style="477" customWidth="1"/>
    <col min="7" max="7" width="19.5703125" style="477" bestFit="1" customWidth="1"/>
  </cols>
  <sheetData>
    <row r="1" spans="1:7" ht="21.75" thickBot="1" x14ac:dyDescent="0.4">
      <c r="A1" s="2280"/>
      <c r="B1" s="2307" t="s">
        <v>483</v>
      </c>
      <c r="C1" s="2308"/>
      <c r="D1" s="2308"/>
      <c r="E1" s="2308"/>
      <c r="F1" s="2308"/>
      <c r="G1" s="2309"/>
    </row>
    <row r="2" spans="1:7" ht="15.75" thickBot="1" x14ac:dyDescent="0.3">
      <c r="C2" s="247"/>
    </row>
    <row r="3" spans="1:7" ht="16.5" thickBot="1" x14ac:dyDescent="0.3">
      <c r="B3" s="2582" t="s">
        <v>351</v>
      </c>
      <c r="C3" s="2974"/>
      <c r="D3" s="862">
        <f>Basisgegevens!$C$16</f>
        <v>45108</v>
      </c>
      <c r="F3" s="495" t="s">
        <v>470</v>
      </c>
      <c r="G3" s="868" t="str">
        <f>Basisgegevens!$C$22</f>
        <v>2023 - 2e halfjaar</v>
      </c>
    </row>
    <row r="4" spans="1:7" ht="15.75" thickBot="1" x14ac:dyDescent="0.3">
      <c r="C4" s="247"/>
    </row>
    <row r="5" spans="1:7" ht="15.75" thickBot="1" x14ac:dyDescent="0.3">
      <c r="C5" s="247"/>
      <c r="E5" s="489" t="s">
        <v>822</v>
      </c>
      <c r="F5" s="489" t="s">
        <v>823</v>
      </c>
    </row>
    <row r="6" spans="1:7" x14ac:dyDescent="0.25">
      <c r="A6" s="505">
        <f>'Alimentatie 2023-02'!A246</f>
        <v>121</v>
      </c>
      <c r="B6" s="865" t="s">
        <v>481</v>
      </c>
      <c r="C6" s="863" t="str">
        <f>BGPartnerAP</f>
        <v>AP</v>
      </c>
      <c r="D6" s="481">
        <f>Basisgegevens!C5</f>
        <v>29586</v>
      </c>
      <c r="E6" s="491">
        <f ca="1">Basisgegevens!C230</f>
        <v>0</v>
      </c>
      <c r="F6" s="491">
        <f ca="1">E6*12</f>
        <v>0</v>
      </c>
      <c r="G6" s="482" t="s">
        <v>77</v>
      </c>
    </row>
    <row r="7" spans="1:7" ht="15.75" thickBot="1" x14ac:dyDescent="0.3">
      <c r="A7" s="592">
        <f>'Alimentatie 2023-02'!A246</f>
        <v>121</v>
      </c>
      <c r="B7" s="866" t="s">
        <v>480</v>
      </c>
      <c r="C7" s="864" t="str">
        <f>BGPartnerAG</f>
        <v>AG</v>
      </c>
      <c r="D7" s="593">
        <f>Basisgegevens!D5</f>
        <v>29221</v>
      </c>
      <c r="E7" s="594">
        <f ca="1">Basisgegevens!D230</f>
        <v>0</v>
      </c>
      <c r="F7" s="594">
        <f ca="1">E7*12</f>
        <v>0</v>
      </c>
      <c r="G7" s="482" t="s">
        <v>77</v>
      </c>
    </row>
    <row r="8" spans="1:7" ht="15.75" thickBot="1" x14ac:dyDescent="0.3">
      <c r="B8" s="3061" t="s">
        <v>1013</v>
      </c>
      <c r="C8" s="2569"/>
      <c r="D8" s="3062"/>
      <c r="E8" s="502">
        <f ca="1">SUM(E6:E7)</f>
        <v>0</v>
      </c>
      <c r="F8" s="502">
        <f ca="1">E8*12</f>
        <v>0</v>
      </c>
    </row>
    <row r="9" spans="1:7" ht="15.75" thickBot="1" x14ac:dyDescent="0.3">
      <c r="B9" s="3052"/>
      <c r="C9" s="3052"/>
      <c r="D9" s="3052"/>
      <c r="E9" s="492"/>
      <c r="F9" s="492"/>
    </row>
    <row r="10" spans="1:7" ht="15.75" thickBot="1" x14ac:dyDescent="0.3">
      <c r="B10" s="3063" t="str">
        <f>Kinderalimentatie!B23</f>
        <v>Eigen aandeel ouders conform NIBUD tabel:</v>
      </c>
      <c r="C10" s="3064"/>
      <c r="D10" s="3065"/>
      <c r="E10" s="493">
        <f ca="1">Kinderalimentatie!D23</f>
        <v>0</v>
      </c>
      <c r="F10" s="493">
        <f ca="1">E10*12</f>
        <v>0</v>
      </c>
      <c r="G10" s="2178" t="s">
        <v>72</v>
      </c>
    </row>
    <row r="11" spans="1:7" ht="15.75" thickBot="1" x14ac:dyDescent="0.3">
      <c r="B11" s="3066" t="s">
        <v>482</v>
      </c>
      <c r="C11" s="3067"/>
      <c r="D11" s="3068"/>
      <c r="E11" s="494">
        <f ca="1">E8-E10</f>
        <v>0</v>
      </c>
      <c r="F11" s="494">
        <f ca="1">E11*12</f>
        <v>0</v>
      </c>
    </row>
    <row r="12" spans="1:7" ht="15.75" thickBot="1" x14ac:dyDescent="0.3">
      <c r="B12" s="3085" t="str">
        <f>CONCATENATE("Behoefte AP/AG a ",Basisgegevens!C227*100,"%:")</f>
        <v>Behoefte AP/AG a 60%:</v>
      </c>
      <c r="C12" s="3086"/>
      <c r="D12" s="3087"/>
      <c r="E12" s="130">
        <f ca="1">Basisgegevens!C227*E11</f>
        <v>0</v>
      </c>
      <c r="F12" s="130">
        <f ca="1">E12*12</f>
        <v>0</v>
      </c>
    </row>
    <row r="13" spans="1:7" ht="15.75" thickBot="1" x14ac:dyDescent="0.3">
      <c r="B13" s="3052"/>
      <c r="C13" s="3052"/>
      <c r="D13" s="3052"/>
    </row>
    <row r="14" spans="1:7" ht="16.5" thickBot="1" x14ac:dyDescent="0.3">
      <c r="A14" s="245" t="s">
        <v>249</v>
      </c>
      <c r="B14" s="3058" t="s">
        <v>484</v>
      </c>
      <c r="C14" s="3058"/>
      <c r="D14" s="3058"/>
      <c r="E14" s="490" t="s">
        <v>55</v>
      </c>
      <c r="F14" s="495" t="s">
        <v>479</v>
      </c>
      <c r="G14" s="692" t="s">
        <v>477</v>
      </c>
    </row>
    <row r="15" spans="1:7" x14ac:dyDescent="0.25">
      <c r="A15" s="1699" t="str">
        <f>'Alimentatie 2023-02'!A44&amp;"/"&amp;'Alimentatie 2023-02'!A50</f>
        <v>59/60</v>
      </c>
      <c r="B15" s="3059" t="str">
        <f>'Alimentatie 2023-02'!B44&amp;" / "&amp;'Alimentatie 2023-02'!B50</f>
        <v>Inkomsten uit arbeid: / Bruto loon volgens jaaropgaaf werkgever(s)</v>
      </c>
      <c r="C15" s="2578"/>
      <c r="D15" s="2579"/>
      <c r="E15" s="478">
        <f>F15/12</f>
        <v>0</v>
      </c>
      <c r="F15" s="527">
        <f>AL59Arbeidsinkomen_AG+AL60Arbeidsinkomen_AG</f>
        <v>0</v>
      </c>
      <c r="G15" s="478">
        <f>F15</f>
        <v>0</v>
      </c>
    </row>
    <row r="16" spans="1:7" x14ac:dyDescent="0.25">
      <c r="A16" s="499">
        <f>'Alimentatie 2023-02'!A16</f>
        <v>43</v>
      </c>
      <c r="B16" s="2565" t="str">
        <f>'Alimentatie 2023-02'!B16</f>
        <v>Bruto uitkering andere sociale verzekeringswetten (niet zijnde bijstand)</v>
      </c>
      <c r="C16" s="2565"/>
      <c r="D16" s="2566"/>
      <c r="E16" s="500">
        <f>F16/12</f>
        <v>0</v>
      </c>
      <c r="F16" s="528">
        <f>AL43SocVerz_AG</f>
        <v>0</v>
      </c>
      <c r="G16" s="500">
        <f>F16</f>
        <v>0</v>
      </c>
    </row>
    <row r="17" spans="1:7" x14ac:dyDescent="0.25">
      <c r="A17" s="499">
        <f>'Alimentatie 2023-02'!A66</f>
        <v>70</v>
      </c>
      <c r="B17" s="3060" t="str">
        <f>'Alimentatie 2023-02'!B66</f>
        <v>Winst uit onderneming:</v>
      </c>
      <c r="C17" s="2565"/>
      <c r="D17" s="2566"/>
      <c r="E17" s="500">
        <f>F17/12</f>
        <v>0</v>
      </c>
      <c r="F17" s="528">
        <f>AL70WinstOnderneming_AG</f>
        <v>0</v>
      </c>
      <c r="G17" s="500">
        <f>F17-'Alimentatie 2023-02'!F74</f>
        <v>0</v>
      </c>
    </row>
    <row r="18" spans="1:7" x14ac:dyDescent="0.25">
      <c r="A18" s="499">
        <f>'Alimentatie 2023-02'!A80</f>
        <v>78</v>
      </c>
      <c r="B18" s="3060" t="str">
        <f>'Alimentatie 2023-02'!B80</f>
        <v>Belastbaar resultaat uit overige werkzaamheden:</v>
      </c>
      <c r="C18" s="2565"/>
      <c r="D18" s="2566"/>
      <c r="E18" s="500">
        <f>F18/12</f>
        <v>0</v>
      </c>
      <c r="F18" s="528">
        <f>AL78OverigeWerkz_AG</f>
        <v>0</v>
      </c>
      <c r="G18" s="500">
        <f>F18</f>
        <v>0</v>
      </c>
    </row>
    <row r="19" spans="1:7" x14ac:dyDescent="0.25">
      <c r="A19" s="499">
        <f>'Alimentatie 2023-02'!A86</f>
        <v>81</v>
      </c>
      <c r="B19" s="3060" t="str">
        <f>'Alimentatie 2023-02'!B86</f>
        <v>Belastbare periodieke uitkeringen en verstrekkingen:</v>
      </c>
      <c r="C19" s="2565"/>
      <c r="D19" s="2566"/>
      <c r="E19" s="500">
        <f>F19/12</f>
        <v>0</v>
      </c>
      <c r="F19" s="528">
        <f>'Alimentatie 2023-02'!F83</f>
        <v>0</v>
      </c>
      <c r="G19" s="500">
        <f>F19</f>
        <v>0</v>
      </c>
    </row>
    <row r="20" spans="1:7" x14ac:dyDescent="0.25">
      <c r="A20" s="499">
        <f>'Alimentatie 2023-02'!A89</f>
        <v>81</v>
      </c>
      <c r="B20" s="3093" t="str">
        <f>'Alimentatie 2023-02'!B89</f>
        <v>OEW Fictief inkomen: Eigen Woning Forfait ontvangen als partneralimentatie</v>
      </c>
      <c r="C20" s="3094"/>
      <c r="D20" s="3095"/>
      <c r="E20" s="500">
        <f t="shared" ref="E20:E21" si="0">F20/12</f>
        <v>0</v>
      </c>
      <c r="F20" s="528">
        <f>IF(BGOEWRekenModule="Nee",0,BGOEW81EWFPA_AG)</f>
        <v>0</v>
      </c>
      <c r="G20" s="500">
        <f t="shared" ref="G20:G21" si="1">F20</f>
        <v>0</v>
      </c>
    </row>
    <row r="21" spans="1:7" ht="15.75" thickBot="1" x14ac:dyDescent="0.3">
      <c r="A21" s="507">
        <f>'Alimentatie 2023-02'!A90</f>
        <v>81</v>
      </c>
      <c r="B21" s="3096" t="str">
        <f>'Alimentatie 2023-02'!B90</f>
        <v>OEW Fictief inkomen: Rente ontvangen als partneralimentatie</v>
      </c>
      <c r="C21" s="3097"/>
      <c r="D21" s="3098"/>
      <c r="E21" s="511">
        <f t="shared" si="0"/>
        <v>0</v>
      </c>
      <c r="F21" s="530">
        <f>IF(BGOEWRekenModule="Nee",0,BGOEW81RentePA_AG)</f>
        <v>0</v>
      </c>
      <c r="G21" s="511">
        <f t="shared" si="1"/>
        <v>0</v>
      </c>
    </row>
    <row r="22" spans="1:7" ht="15.75" thickBot="1" x14ac:dyDescent="0.3">
      <c r="A22" s="508">
        <v>94</v>
      </c>
      <c r="B22" s="3050" t="s">
        <v>496</v>
      </c>
      <c r="C22" s="3050"/>
      <c r="D22" s="3088"/>
      <c r="E22" s="540">
        <f>SUM(E15:E21)</f>
        <v>0</v>
      </c>
      <c r="F22" s="540">
        <f>SUM(F15:F21)</f>
        <v>0</v>
      </c>
      <c r="G22" s="540">
        <f>SUM(G15:G21)</f>
        <v>0</v>
      </c>
    </row>
    <row r="23" spans="1:7" x14ac:dyDescent="0.25">
      <c r="A23" s="506" t="str">
        <f>CONCATENATE('Alimentatie 2023-02'!A144,"/",'Alimentatie 2023-02'!A146)</f>
        <v>98/100</v>
      </c>
      <c r="B23" s="3041" t="str">
        <f>'Alimentatie 2023-02'!B146</f>
        <v>Belastbaar inkomen uit aanmerkelijk belang (Box II):</v>
      </c>
      <c r="C23" s="3041"/>
      <c r="D23" s="3042"/>
      <c r="E23" s="504">
        <f>G23/12</f>
        <v>0</v>
      </c>
      <c r="F23" s="529">
        <f>'Alimentatie 2023-02'!F144</f>
        <v>0</v>
      </c>
      <c r="G23" s="504">
        <f>'Alimentatie 2023-02'!F146</f>
        <v>0</v>
      </c>
    </row>
    <row r="24" spans="1:7" ht="15.75" thickBot="1" x14ac:dyDescent="0.3">
      <c r="A24" s="509">
        <f>'Alimentatie 2023-02'!A155</f>
        <v>103</v>
      </c>
      <c r="B24" s="3091" t="str">
        <f>'Alimentatie 2023-02'!B155</f>
        <v>Werkelijke vermogensinkomsten:</v>
      </c>
      <c r="C24" s="2575"/>
      <c r="D24" s="2576"/>
      <c r="E24" s="511">
        <f>F24/12</f>
        <v>0</v>
      </c>
      <c r="F24" s="530">
        <f>AL103WerkVemInk_AG</f>
        <v>0</v>
      </c>
      <c r="G24" s="511">
        <f>'Alimentatie 2023-02'!F175</f>
        <v>0</v>
      </c>
    </row>
    <row r="25" spans="1:7" ht="15.75" thickBot="1" x14ac:dyDescent="0.3">
      <c r="A25" s="510"/>
      <c r="B25" s="3055" t="s">
        <v>485</v>
      </c>
      <c r="C25" s="3055"/>
      <c r="D25" s="3092"/>
      <c r="E25" s="512">
        <f>E22+E23+E24</f>
        <v>0</v>
      </c>
      <c r="F25" s="526">
        <f>F22+F23+F24</f>
        <v>0</v>
      </c>
      <c r="G25" s="130">
        <f>G22+G23+G24</f>
        <v>0</v>
      </c>
    </row>
    <row r="26" spans="1:7" ht="15.75" thickBot="1" x14ac:dyDescent="0.3">
      <c r="B26" s="3052"/>
      <c r="C26" s="3052"/>
      <c r="D26" s="3052"/>
    </row>
    <row r="27" spans="1:7" ht="16.149999999999999" customHeight="1" thickBot="1" x14ac:dyDescent="0.3">
      <c r="A27" s="251" t="s">
        <v>249</v>
      </c>
      <c r="B27" s="3089" t="s">
        <v>206</v>
      </c>
      <c r="C27" s="3089"/>
      <c r="D27" s="3090"/>
      <c r="E27" s="490" t="s">
        <v>55</v>
      </c>
      <c r="F27" s="490" t="s">
        <v>479</v>
      </c>
      <c r="G27" s="1726"/>
    </row>
    <row r="28" spans="1:7" x14ac:dyDescent="0.25">
      <c r="A28" s="513">
        <f>'Alimentatie 2023-02'!A134</f>
        <v>95</v>
      </c>
      <c r="B28" s="3041" t="str">
        <f>'Alimentatie 2023-02'!B134</f>
        <v>Inkomensheffing Box 1:</v>
      </c>
      <c r="C28" s="3041"/>
      <c r="D28" s="3042"/>
      <c r="E28" s="478">
        <f>IF(F28="n.v.t",0,F28/12)</f>
        <v>0</v>
      </c>
      <c r="F28" s="478">
        <f>'Alimentatie 2023-02'!G134</f>
        <v>0</v>
      </c>
      <c r="G28" s="1726" t="s">
        <v>77</v>
      </c>
    </row>
    <row r="29" spans="1:7" x14ac:dyDescent="0.25">
      <c r="A29" s="499">
        <f>'Alimentatie 2023-02'!A147</f>
        <v>101</v>
      </c>
      <c r="B29" s="2565" t="str">
        <f>'Alimentatie 2023-02'!B147</f>
        <v>Inkomstebelasting (vast tarief 26,9%) box II:</v>
      </c>
      <c r="C29" s="2565"/>
      <c r="D29" s="2566"/>
      <c r="E29" s="500">
        <f>IF(F29="n.v.t",0,F29/12)</f>
        <v>0</v>
      </c>
      <c r="F29" s="500">
        <f>'Alimentatie 2023-02'!F147</f>
        <v>0</v>
      </c>
      <c r="G29" s="1726" t="s">
        <v>77</v>
      </c>
    </row>
    <row r="30" spans="1:7" ht="15.75" thickBot="1" x14ac:dyDescent="0.3">
      <c r="A30" s="507">
        <f>'Alimentatie 2023-02'!A176</f>
        <v>112</v>
      </c>
      <c r="B30" s="2575" t="str">
        <f>'Alimentatie 2023-02'!B176</f>
        <v>Inkomstebelasting (vast tarief 32%) box III:</v>
      </c>
      <c r="C30" s="2575"/>
      <c r="D30" s="2576"/>
      <c r="E30" s="511">
        <f>IF(F30="n.v.t",0,F30/12)</f>
        <v>0</v>
      </c>
      <c r="F30" s="511">
        <f>'Alimentatie 2023-02'!F176</f>
        <v>0</v>
      </c>
      <c r="G30" s="1726" t="s">
        <v>77</v>
      </c>
    </row>
    <row r="31" spans="1:7" ht="15.75" thickBot="1" x14ac:dyDescent="0.3">
      <c r="A31" s="508"/>
      <c r="B31" s="3050" t="s">
        <v>486</v>
      </c>
      <c r="C31" s="3050"/>
      <c r="D31" s="3051"/>
      <c r="E31" s="488">
        <f>SUM(E28:E30)</f>
        <v>0</v>
      </c>
      <c r="F31" s="488">
        <f>SUM(F28:F30)</f>
        <v>0</v>
      </c>
      <c r="G31" s="1726"/>
    </row>
    <row r="32" spans="1:7" ht="15.75" thickBot="1" x14ac:dyDescent="0.3">
      <c r="B32" s="3052"/>
      <c r="C32" s="3052"/>
      <c r="D32" s="3052"/>
      <c r="G32" s="1726"/>
    </row>
    <row r="33" spans="1:7" ht="16.5" thickBot="1" x14ac:dyDescent="0.3">
      <c r="A33" s="277">
        <f>'Alimentatie 2023-02'!A183</f>
        <v>115</v>
      </c>
      <c r="B33" s="3053" t="s">
        <v>478</v>
      </c>
      <c r="C33" s="3053"/>
      <c r="D33" s="3054"/>
      <c r="E33" s="489" t="s">
        <v>55</v>
      </c>
      <c r="F33" s="532" t="s">
        <v>479</v>
      </c>
      <c r="G33" s="1726"/>
    </row>
    <row r="34" spans="1:7" x14ac:dyDescent="0.25">
      <c r="A34" s="498"/>
      <c r="B34" s="2578" t="str">
        <f>'Alimentatie 2023-02'!B184&amp;" over € "&amp;Basisgegevens!R96</f>
        <v>- Algemene heffingskorting over € 0 (AP) / € 0 (AG) over € 0</v>
      </c>
      <c r="C34" s="2578"/>
      <c r="D34" s="2579"/>
      <c r="E34" s="478">
        <f>IF(F34="n.v.t",0,F34/12)</f>
        <v>0</v>
      </c>
      <c r="F34" s="1456">
        <f>IF(BGAOWLeeftijdBereikt_AG="Nee",Basisgegevens!R101,Basisgegevens!R110)</f>
        <v>0</v>
      </c>
      <c r="G34" s="1726" t="s">
        <v>77</v>
      </c>
    </row>
    <row r="35" spans="1:7" x14ac:dyDescent="0.25">
      <c r="A35" s="499"/>
      <c r="B35" s="2565" t="str">
        <f>'Alimentatie 2023-02'!B185</f>
        <v>- Arbeidskorting over € 0 (AP) / € 0 (AG)</v>
      </c>
      <c r="C35" s="2565"/>
      <c r="D35" s="2566"/>
      <c r="E35" s="500">
        <f t="shared" ref="E35:E58" si="2">IF(F35="n.v.t",0,F35/12)</f>
        <v>0</v>
      </c>
      <c r="F35" s="533">
        <f>IF(BGAOWLeeftijdBereikt_AG="Nee",Basisgegevens!R121,Basisgegevens!R130)</f>
        <v>0</v>
      </c>
      <c r="G35" s="1726" t="s">
        <v>77</v>
      </c>
    </row>
    <row r="36" spans="1:7" x14ac:dyDescent="0.25">
      <c r="A36" s="499"/>
      <c r="B36" s="2565" t="str">
        <f>'Alimentatie 2023-02'!B186</f>
        <v>- Inkomensonafhankelijke combinatiekorting</v>
      </c>
      <c r="C36" s="2565"/>
      <c r="D36" s="2566"/>
      <c r="E36" s="500">
        <f t="shared" si="2"/>
        <v>0</v>
      </c>
      <c r="F36" s="533" t="str">
        <f>IF(BGAOWLeeftijdBereikt_AG="Nee",Basisgegevens!R84,Basisgegevens!R92)</f>
        <v>n.v.t</v>
      </c>
      <c r="G36" s="1726" t="s">
        <v>77</v>
      </c>
    </row>
    <row r="37" spans="1:7" x14ac:dyDescent="0.25">
      <c r="A37" s="499"/>
      <c r="B37" s="2565" t="str">
        <f>'Alimentatie 2023-02'!B187</f>
        <v>- Ouderenkorting</v>
      </c>
      <c r="C37" s="2565"/>
      <c r="D37" s="2566"/>
      <c r="E37" s="500">
        <f t="shared" si="2"/>
        <v>0</v>
      </c>
      <c r="F37" s="533" t="str">
        <f>Basisgegevens!R138</f>
        <v>n.v.t</v>
      </c>
      <c r="G37" s="1726" t="s">
        <v>77</v>
      </c>
    </row>
    <row r="38" spans="1:7" x14ac:dyDescent="0.25">
      <c r="A38" s="499"/>
      <c r="B38" s="2565" t="str">
        <f>'Alimentatie 2023-02'!B188</f>
        <v>- Alleenstaande ouderenkorting (AOW-ers)</v>
      </c>
      <c r="C38" s="2565"/>
      <c r="D38" s="2566"/>
      <c r="E38" s="500">
        <f t="shared" si="2"/>
        <v>0</v>
      </c>
      <c r="F38" s="533" t="str">
        <f>Basisgegevens!R56</f>
        <v>n.v.t</v>
      </c>
      <c r="G38" s="1726" t="s">
        <v>77</v>
      </c>
    </row>
    <row r="39" spans="1:7" ht="15.75" thickBot="1" x14ac:dyDescent="0.3">
      <c r="A39" s="507"/>
      <c r="B39" s="2575" t="str">
        <f>'Alimentatie 2023-02'!B189</f>
        <v>- Andere kortingen (Jonggehandicapten, Levensloopverlof, Groene beleggingen)</v>
      </c>
      <c r="C39" s="2575"/>
      <c r="D39" s="2576"/>
      <c r="E39" s="511">
        <f t="shared" si="2"/>
        <v>0</v>
      </c>
      <c r="F39" s="534">
        <f>'Alimentatie 2023-02'!F189</f>
        <v>0</v>
      </c>
      <c r="G39" s="1726" t="s">
        <v>77</v>
      </c>
    </row>
    <row r="40" spans="1:7" ht="15.75" thickBot="1" x14ac:dyDescent="0.3">
      <c r="A40" s="579">
        <f>'Alimentatie 2023-02'!A190</f>
        <v>116</v>
      </c>
      <c r="B40" s="3050" t="s">
        <v>487</v>
      </c>
      <c r="C40" s="3050"/>
      <c r="D40" s="3051"/>
      <c r="E40" s="488">
        <f t="shared" si="2"/>
        <v>0</v>
      </c>
      <c r="F40" s="540">
        <f>SUM(F34:F39)</f>
        <v>0</v>
      </c>
      <c r="G40" s="1726"/>
    </row>
    <row r="41" spans="1:7" ht="15.75" thickBot="1" x14ac:dyDescent="0.3">
      <c r="A41" s="579">
        <f>'Alimentatie 2023-02'!A191</f>
        <v>117</v>
      </c>
      <c r="B41" s="3050" t="s">
        <v>204</v>
      </c>
      <c r="C41" s="3050"/>
      <c r="D41" s="3051"/>
      <c r="E41" s="488">
        <f t="shared" si="2"/>
        <v>0</v>
      </c>
      <c r="F41" s="540">
        <f>IF(F31-F40&lt;0,0,F31-F40)</f>
        <v>0</v>
      </c>
      <c r="G41" s="1726"/>
    </row>
    <row r="42" spans="1:7" ht="15.75" thickBot="1" x14ac:dyDescent="0.3">
      <c r="A42" s="510">
        <f>'Alimentatie 2023-02'!A192</f>
        <v>0</v>
      </c>
      <c r="B42" s="3055" t="str">
        <f>'Alimentatie 2023-02'!B192</f>
        <v>Inkomen na aftrek van inkomensheffing:</v>
      </c>
      <c r="C42" s="3055"/>
      <c r="D42" s="2571"/>
      <c r="E42" s="130">
        <f t="shared" si="2"/>
        <v>0</v>
      </c>
      <c r="F42" s="512">
        <f>'Alimentatie 2023-02'!F181-F41</f>
        <v>0</v>
      </c>
      <c r="G42" s="1726"/>
    </row>
    <row r="43" spans="1:7" ht="15.75" thickBot="1" x14ac:dyDescent="0.3">
      <c r="B43" s="3052"/>
      <c r="C43" s="3052"/>
      <c r="D43" s="3052"/>
    </row>
    <row r="44" spans="1:7" ht="15.75" thickBot="1" x14ac:dyDescent="0.3">
      <c r="A44" s="251" t="s">
        <v>249</v>
      </c>
      <c r="B44" s="3056" t="s">
        <v>498</v>
      </c>
      <c r="C44" s="3056"/>
      <c r="D44" s="3057"/>
      <c r="E44" s="490" t="s">
        <v>55</v>
      </c>
      <c r="F44" s="535" t="s">
        <v>479</v>
      </c>
    </row>
    <row r="45" spans="1:7" x14ac:dyDescent="0.25">
      <c r="A45" s="513">
        <f>'Alimentatie 2023-02'!A219</f>
        <v>119</v>
      </c>
      <c r="B45" s="3099" t="str">
        <f>'Alimentatie 2023-02'!B219</f>
        <v>(Kleine) Netto inkomsten</v>
      </c>
      <c r="C45" s="3041"/>
      <c r="D45" s="3042"/>
      <c r="E45" s="504">
        <f>IF(F45="n.v.t",0,F45/12)</f>
        <v>0</v>
      </c>
      <c r="F45" s="536">
        <f>'Alimentatie 2023-02'!F219</f>
        <v>0</v>
      </c>
      <c r="G45" s="482" t="s">
        <v>77</v>
      </c>
    </row>
    <row r="46" spans="1:7" ht="15.75" thickBot="1" x14ac:dyDescent="0.3">
      <c r="A46" s="816">
        <f>'Alimentatie 2023-02'!A234</f>
        <v>75</v>
      </c>
      <c r="B46" s="2575" t="str">
        <f>'Alimentatie 2023-02'!B234</f>
        <v>Belastbare winst uit onderneming</v>
      </c>
      <c r="C46" s="2575"/>
      <c r="D46" s="2576"/>
      <c r="E46" s="511">
        <f t="shared" si="2"/>
        <v>0</v>
      </c>
      <c r="F46" s="538">
        <f>'Alimentatie 2023-02'!F234</f>
        <v>0</v>
      </c>
      <c r="G46" s="2178" t="s">
        <v>72</v>
      </c>
    </row>
    <row r="47" spans="1:7" ht="15.75" thickBot="1" x14ac:dyDescent="0.3">
      <c r="A47" s="2125"/>
      <c r="B47" s="3038" t="s">
        <v>988</v>
      </c>
      <c r="C47" s="3038"/>
      <c r="D47" s="3038"/>
      <c r="E47" s="2126"/>
      <c r="F47" s="2127"/>
      <c r="G47" s="2178"/>
    </row>
    <row r="48" spans="1:7" x14ac:dyDescent="0.25">
      <c r="A48" s="2128" t="str">
        <f>'Alimentatie 2023-02'!A197</f>
        <v>41/57</v>
      </c>
      <c r="B48" s="2579" t="str">
        <f>'Alimentatie 2023-02'!B197</f>
        <v>Ink.afhankelijke bijdrage premie ZVW al betaald bij post 41 Looninkomsten</v>
      </c>
      <c r="C48" s="3045"/>
      <c r="D48" s="3046"/>
      <c r="E48" s="478">
        <f t="shared" ref="E48" si="3">IF(F48="n.v.t",0,F48/12)</f>
        <v>0</v>
      </c>
      <c r="F48" s="1456">
        <f>'Alimentatie 2023-02'!G197</f>
        <v>0</v>
      </c>
      <c r="G48" s="2178"/>
    </row>
    <row r="49" spans="1:7" x14ac:dyDescent="0.25">
      <c r="A49" s="248" t="str">
        <f>'Alimentatie 2023-02'!A198</f>
        <v>42/57</v>
      </c>
      <c r="B49" s="2566" t="str">
        <f>'Alimentatie 2023-02'!B198</f>
        <v>Ink.afhankelijke bijdrage premie ZVW al betaald bij post 42 AOW</v>
      </c>
      <c r="C49" s="2546"/>
      <c r="D49" s="3044"/>
      <c r="E49" s="500">
        <f t="shared" ref="E49:E50" si="4">IF(F49="n.v.t",0,F49/12)</f>
        <v>0</v>
      </c>
      <c r="F49" s="533">
        <f>'Alimentatie 2023-02'!G198</f>
        <v>0</v>
      </c>
      <c r="G49" s="2178"/>
    </row>
    <row r="50" spans="1:7" ht="15.75" thickBot="1" x14ac:dyDescent="0.3">
      <c r="A50" s="249" t="str">
        <f>'Alimentatie 2023-02'!A199</f>
        <v>50/57</v>
      </c>
      <c r="B50" s="3037" t="str">
        <f>'Alimentatie 2023-02'!B199</f>
        <v>Ink.afhankelijke bijdrage premie ZVW al betaald bij post 50 Pensioen</v>
      </c>
      <c r="C50" s="2567"/>
      <c r="D50" s="3043"/>
      <c r="E50" s="501">
        <f t="shared" si="4"/>
        <v>0</v>
      </c>
      <c r="F50" s="1457">
        <f>'Alimentatie 2023-02'!G199</f>
        <v>0</v>
      </c>
      <c r="G50" s="2178" t="s">
        <v>72</v>
      </c>
    </row>
    <row r="51" spans="1:7" x14ac:dyDescent="0.25">
      <c r="A51" s="250" t="str">
        <f>'Alimentatie 2023-02'!A$205</f>
        <v>44/47/48</v>
      </c>
      <c r="B51" s="3041" t="str">
        <f>'Alimentatie 2023-02'!B205</f>
        <v>Bruto arbeidsinkomen uit dienstbetrekking (1 en 2) als DGA? Nee (AP) / Nee (AG)</v>
      </c>
      <c r="C51" s="3041"/>
      <c r="D51" s="3042"/>
      <c r="E51" s="504">
        <f t="shared" si="2"/>
        <v>0</v>
      </c>
      <c r="F51" s="536">
        <f>'Alimentatie 2023-02'!F205</f>
        <v>0</v>
      </c>
      <c r="G51" s="2178" t="s">
        <v>72</v>
      </c>
    </row>
    <row r="52" spans="1:7" x14ac:dyDescent="0.25">
      <c r="A52" s="248">
        <f>'Alimentatie 2023-02'!A$206</f>
        <v>75</v>
      </c>
      <c r="B52" s="2565" t="str">
        <f>'Alimentatie 2023-02'!B206</f>
        <v>Belastbare winst uit onderneming</v>
      </c>
      <c r="C52" s="2565"/>
      <c r="D52" s="2566"/>
      <c r="E52" s="500">
        <f t="shared" si="2"/>
        <v>0</v>
      </c>
      <c r="F52" s="533">
        <f>'Alimentatie 2023-02'!F206</f>
        <v>0</v>
      </c>
      <c r="G52" s="2178" t="s">
        <v>72</v>
      </c>
    </row>
    <row r="53" spans="1:7" x14ac:dyDescent="0.25">
      <c r="A53" s="248">
        <f>'Alimentatie 2023-02'!A$207</f>
        <v>78</v>
      </c>
      <c r="B53" s="2565" t="str">
        <f>'Alimentatie 2023-02'!B207</f>
        <v>Belastbaar resultaat uit overige werkzaamheden</v>
      </c>
      <c r="C53" s="2565"/>
      <c r="D53" s="2566"/>
      <c r="E53" s="500">
        <f t="shared" si="2"/>
        <v>0</v>
      </c>
      <c r="F53" s="533">
        <f>'Alimentatie 2023-02'!F207</f>
        <v>0</v>
      </c>
      <c r="G53" s="2178" t="s">
        <v>72</v>
      </c>
    </row>
    <row r="54" spans="1:7" ht="15.75" thickBot="1" x14ac:dyDescent="0.3">
      <c r="A54" s="249">
        <f>'Alimentatie 2023-02'!A$209</f>
        <v>81</v>
      </c>
      <c r="B54" s="3036" t="str">
        <f>'Alimentatie 2023-02'!B209</f>
        <v>Belastbare periodieke uitkeringen en verstrekkingen</v>
      </c>
      <c r="C54" s="3036"/>
      <c r="D54" s="3037"/>
      <c r="E54" s="501">
        <f t="shared" si="2"/>
        <v>0</v>
      </c>
      <c r="F54" s="1457">
        <f>'Alimentatie 2023-02'!F209</f>
        <v>0</v>
      </c>
      <c r="G54" s="2178" t="s">
        <v>72</v>
      </c>
    </row>
    <row r="55" spans="1:7" ht="15.75" thickBot="1" x14ac:dyDescent="0.3">
      <c r="A55" s="537"/>
      <c r="B55" s="3039" t="s">
        <v>989</v>
      </c>
      <c r="C55" s="3039"/>
      <c r="D55" s="3040"/>
      <c r="E55" s="2129">
        <f>SUM(E48:E54)</f>
        <v>0</v>
      </c>
      <c r="F55" s="2130">
        <f>SUM(F48:F54)</f>
        <v>0</v>
      </c>
      <c r="G55" s="2178" t="s">
        <v>72</v>
      </c>
    </row>
    <row r="56" spans="1:7" ht="15.75" thickBot="1" x14ac:dyDescent="0.3">
      <c r="A56" s="508"/>
      <c r="B56" s="1722"/>
      <c r="C56" s="1723"/>
      <c r="D56" s="1724" t="s">
        <v>904</v>
      </c>
      <c r="E56" s="540">
        <f>E42+E45-E55</f>
        <v>0</v>
      </c>
      <c r="F56" s="540">
        <f>F42+F45-F55</f>
        <v>0</v>
      </c>
      <c r="G56" s="2178"/>
    </row>
    <row r="57" spans="1:7" x14ac:dyDescent="0.25">
      <c r="A57" s="537"/>
      <c r="B57" s="3047" t="s">
        <v>905</v>
      </c>
      <c r="C57" s="3048"/>
      <c r="D57" s="3049"/>
      <c r="E57" s="542">
        <f t="shared" ca="1" si="2"/>
        <v>0</v>
      </c>
      <c r="F57" s="867">
        <f ca="1">F34-IF(BGAOWLeeftijdBereikt_AG="Nee",Basisgegevens!V101,Basisgegevens!V110)</f>
        <v>0</v>
      </c>
      <c r="G57" s="2178" t="s">
        <v>72</v>
      </c>
    </row>
    <row r="58" spans="1:7" ht="15.75" thickBot="1" x14ac:dyDescent="0.3">
      <c r="A58" s="249"/>
      <c r="B58" s="3072" t="s">
        <v>601</v>
      </c>
      <c r="C58" s="3073"/>
      <c r="D58" s="3074"/>
      <c r="E58" s="501">
        <f t="shared" ca="1" si="2"/>
        <v>0</v>
      </c>
      <c r="F58" s="1457">
        <f ca="1">IF(F11-G15&lt;=0,0,IF(F11-G15&gt;Basisgegevens!C221,((Basisgegevens!C221-G15)*Basisgegevens!C220)-SUM(F46:F54),((F11-G15)*Basisgegevens!C220)-SUM(F46:F54)))</f>
        <v>0</v>
      </c>
      <c r="G58" s="2178" t="s">
        <v>72</v>
      </c>
    </row>
    <row r="59" spans="1:7" ht="15.75" thickBot="1" x14ac:dyDescent="0.3">
      <c r="A59" s="525" t="str">
        <f>'Alimentatie 2023-02'!A224</f>
        <v>119a</v>
      </c>
      <c r="B59" s="2569" t="str">
        <f>'Alimentatie 2023-02'!B224</f>
        <v>Totaal Netto inkomsten (incl. evt. KGB):</v>
      </c>
      <c r="C59" s="2569"/>
      <c r="D59" s="3062"/>
      <c r="E59" s="502">
        <f ca="1">F59/12</f>
        <v>0</v>
      </c>
      <c r="F59" s="503">
        <f ca="1">F56-SUM(F57:F58)</f>
        <v>0</v>
      </c>
      <c r="G59" s="889"/>
    </row>
    <row r="60" spans="1:7" x14ac:dyDescent="0.25">
      <c r="A60" s="248" t="str">
        <f>'Alimentatie 2023-02'!A290</f>
        <v>141b</v>
      </c>
      <c r="B60" s="2565" t="str">
        <f>'Alimentatie 2023-02'!B290</f>
        <v>Eigen aandeel kosten kinderen</v>
      </c>
      <c r="C60" s="2565"/>
      <c r="D60" s="2566"/>
      <c r="E60" s="542">
        <f>'Alimentatie 2023-02'!F290</f>
        <v>0</v>
      </c>
      <c r="F60" s="867">
        <f>E60*12</f>
        <v>0</v>
      </c>
      <c r="G60" s="2178" t="s">
        <v>72</v>
      </c>
    </row>
    <row r="61" spans="1:7" ht="15.75" thickBot="1" x14ac:dyDescent="0.3">
      <c r="A61" s="248"/>
      <c r="B61" s="2565" t="str">
        <f>'Alimentatie 2023-02'!B222</f>
        <v>- Kindgebonden budget + Alleenstaande ouderkop (zie Toelichting in kolom H !!!)</v>
      </c>
      <c r="C61" s="2565"/>
      <c r="D61" s="2566"/>
      <c r="E61" s="500">
        <f>IF(F61="n.v.t",0,F61/12)</f>
        <v>0</v>
      </c>
      <c r="F61" s="533">
        <f>IF(BGKGBbij119a="Ja",IF('Alimentatie 2023-02'!G222&gt;=F60,F60,F60-'Alimentatie 2023-02'!G222),0)</f>
        <v>0</v>
      </c>
      <c r="G61" s="482" t="s">
        <v>77</v>
      </c>
    </row>
    <row r="62" spans="1:7" ht="15.75" thickBot="1" x14ac:dyDescent="0.3">
      <c r="A62" s="514"/>
      <c r="B62" s="3055" t="s">
        <v>499</v>
      </c>
      <c r="C62" s="3055"/>
      <c r="D62" s="2571"/>
      <c r="E62" s="130">
        <f ca="1">E59-E60+E61</f>
        <v>0</v>
      </c>
      <c r="F62" s="512">
        <f ca="1">F59-F60+SUBSTITUTE(F61,"n.v.t",0)</f>
        <v>0</v>
      </c>
      <c r="G62"/>
    </row>
    <row r="63" spans="1:7" ht="15.75" thickBot="1" x14ac:dyDescent="0.3">
      <c r="B63" s="3052"/>
      <c r="C63" s="3052"/>
      <c r="D63" s="3052"/>
    </row>
    <row r="64" spans="1:7" ht="15.75" thickBot="1" x14ac:dyDescent="0.3">
      <c r="B64" s="3075" t="s">
        <v>502</v>
      </c>
      <c r="C64" s="3076"/>
      <c r="D64" s="3077"/>
      <c r="E64" s="490" t="s">
        <v>55</v>
      </c>
      <c r="F64" s="535" t="s">
        <v>479</v>
      </c>
      <c r="G64"/>
    </row>
    <row r="65" spans="2:7" x14ac:dyDescent="0.25">
      <c r="B65" s="3078" t="s">
        <v>500</v>
      </c>
      <c r="C65" s="3079"/>
      <c r="D65" s="3080"/>
      <c r="E65" s="504">
        <f ca="1">E12</f>
        <v>0</v>
      </c>
      <c r="F65" s="536">
        <f ca="1">F12</f>
        <v>0</v>
      </c>
      <c r="G65" s="482" t="s">
        <v>77</v>
      </c>
    </row>
    <row r="66" spans="2:7" ht="15.75" thickBot="1" x14ac:dyDescent="0.3">
      <c r="B66" s="3081" t="str">
        <f>B62</f>
        <v>Netto inkomen t.b.v. eigen behoefte:</v>
      </c>
      <c r="C66" s="3082"/>
      <c r="D66" s="3083"/>
      <c r="E66" s="511">
        <f ca="1">IF(F66="n.v.t",0,F66/12)</f>
        <v>0</v>
      </c>
      <c r="F66" s="538">
        <f ca="1">F62</f>
        <v>0</v>
      </c>
      <c r="G66" s="2230" t="s">
        <v>72</v>
      </c>
    </row>
    <row r="67" spans="2:7" ht="15.75" thickBot="1" x14ac:dyDescent="0.3">
      <c r="B67" s="3084" t="s">
        <v>488</v>
      </c>
      <c r="C67" s="3050"/>
      <c r="D67" s="3051"/>
      <c r="E67" s="541">
        <f ca="1">E65-E66</f>
        <v>0</v>
      </c>
      <c r="F67" s="539">
        <f ca="1">F65-F66</f>
        <v>0</v>
      </c>
      <c r="G67" s="890"/>
    </row>
    <row r="68" spans="2:7" ht="15.75" thickBot="1" x14ac:dyDescent="0.3">
      <c r="B68" s="3084" t="s">
        <v>497</v>
      </c>
      <c r="C68" s="3050"/>
      <c r="D68" s="3051"/>
      <c r="E68" s="488">
        <f ca="1">F68/12</f>
        <v>0</v>
      </c>
      <c r="F68" s="540">
        <f ca="1">Basisgegevens!Y11</f>
        <v>0</v>
      </c>
    </row>
    <row r="69" spans="2:7" ht="15.75" thickBot="1" x14ac:dyDescent="0.3">
      <c r="B69" s="3081" t="str">
        <f>"Af te dragen ZVW-Premie a "&amp;BGZVWPremie*100&amp;"% over € "&amp;'Alimentatie 2023-02'!F213&amp;"(= restbedrag ZKV heffing)"</f>
        <v>Af te dragen ZVW-Premie a 5,43% over € 66952(= restbedrag ZKV heffing)</v>
      </c>
      <c r="C69" s="3082"/>
      <c r="D69" s="3083"/>
      <c r="E69" s="493">
        <f t="shared" ref="E69" si="5">IF(F69="n.v.t",0,F69/12)</f>
        <v>302.95780000000002</v>
      </c>
      <c r="F69" s="1725">
        <f>AL117aRestZVWbedrag_AG*BGZVWPremie</f>
        <v>3635.4936000000002</v>
      </c>
      <c r="G69" s="531" t="s">
        <v>77</v>
      </c>
    </row>
    <row r="70" spans="2:7" ht="16.5" thickBot="1" x14ac:dyDescent="0.3">
      <c r="B70" s="3069" t="s">
        <v>501</v>
      </c>
      <c r="C70" s="3070"/>
      <c r="D70" s="3071"/>
      <c r="E70" s="1729">
        <f ca="1">E68+E69</f>
        <v>302.95780000000002</v>
      </c>
      <c r="F70" s="1729">
        <f ca="1">F68+F69</f>
        <v>3635.4936000000002</v>
      </c>
    </row>
  </sheetData>
  <sheetProtection algorithmName="SHA-512" hashValue="grLB48SZTFr2wBdD/+MESZ3uK8p/7xIoTVzFsfbzc+xNWmEuVSvAlWK5srYETJ2m5hlEf6bOnwi02ruNXnKWCA==" saltValue="Obd1cu7rwd6Cmk0x0rARHw==" spinCount="100000" sheet="1" objects="1" scenarios="1"/>
  <mergeCells count="63">
    <mergeCell ref="B12:D12"/>
    <mergeCell ref="B13:D13"/>
    <mergeCell ref="B68:D68"/>
    <mergeCell ref="B26:D26"/>
    <mergeCell ref="B28:D28"/>
    <mergeCell ref="B29:D29"/>
    <mergeCell ref="B19:D19"/>
    <mergeCell ref="B22:D22"/>
    <mergeCell ref="B23:D23"/>
    <mergeCell ref="B27:D27"/>
    <mergeCell ref="B24:D24"/>
    <mergeCell ref="B25:D25"/>
    <mergeCell ref="B20:D20"/>
    <mergeCell ref="B21:D21"/>
    <mergeCell ref="B43:D43"/>
    <mergeCell ref="B45:D45"/>
    <mergeCell ref="B70:D70"/>
    <mergeCell ref="B58:D58"/>
    <mergeCell ref="B59:D59"/>
    <mergeCell ref="B64:D64"/>
    <mergeCell ref="B62:D62"/>
    <mergeCell ref="B63:D63"/>
    <mergeCell ref="B65:D65"/>
    <mergeCell ref="B66:D66"/>
    <mergeCell ref="B67:D67"/>
    <mergeCell ref="B61:D61"/>
    <mergeCell ref="B69:D69"/>
    <mergeCell ref="B8:D8"/>
    <mergeCell ref="B9:D9"/>
    <mergeCell ref="B10:D10"/>
    <mergeCell ref="B11:D11"/>
    <mergeCell ref="B3:C3"/>
    <mergeCell ref="B44:D44"/>
    <mergeCell ref="B14:D14"/>
    <mergeCell ref="B15:D15"/>
    <mergeCell ref="B16:D16"/>
    <mergeCell ref="B17:D17"/>
    <mergeCell ref="B18:D18"/>
    <mergeCell ref="B57:D57"/>
    <mergeCell ref="B60:D60"/>
    <mergeCell ref="B35:D35"/>
    <mergeCell ref="B30:D30"/>
    <mergeCell ref="B31:D31"/>
    <mergeCell ref="B32:D32"/>
    <mergeCell ref="B33:D33"/>
    <mergeCell ref="B34:D34"/>
    <mergeCell ref="B36:D36"/>
    <mergeCell ref="B37:D37"/>
    <mergeCell ref="B38:D38"/>
    <mergeCell ref="B46:D46"/>
    <mergeCell ref="B39:D39"/>
    <mergeCell ref="B40:D40"/>
    <mergeCell ref="B41:D41"/>
    <mergeCell ref="B42:D42"/>
    <mergeCell ref="B54:D54"/>
    <mergeCell ref="B47:D47"/>
    <mergeCell ref="B55:D55"/>
    <mergeCell ref="B51:D51"/>
    <mergeCell ref="B50:D50"/>
    <mergeCell ref="B52:D52"/>
    <mergeCell ref="B53:D53"/>
    <mergeCell ref="B49:D49"/>
    <mergeCell ref="B48:D48"/>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8"/>
  <sheetViews>
    <sheetView showGridLines="0" zoomScale="80" zoomScaleNormal="80" workbookViewId="0">
      <pane xSplit="6" ySplit="5" topLeftCell="G6" activePane="bottomRight" state="frozen"/>
      <selection pane="topRight" activeCell="G1" sqref="G1"/>
      <selection pane="bottomLeft" activeCell="A5" sqref="A5"/>
      <selection pane="bottomRight"/>
    </sheetView>
  </sheetViews>
  <sheetFormatPr defaultRowHeight="15" x14ac:dyDescent="0.25"/>
  <cols>
    <col min="1" max="1" width="9.42578125" style="247" bestFit="1" customWidth="1"/>
    <col min="2" max="2" width="80.7109375" customWidth="1"/>
    <col min="3" max="6" width="16.7109375" style="477" customWidth="1"/>
    <col min="7" max="7" width="18.42578125" bestFit="1" customWidth="1"/>
    <col min="8" max="8" width="40.7109375" customWidth="1"/>
    <col min="9" max="10" width="16.7109375" customWidth="1"/>
    <col min="11" max="11" width="17.85546875" bestFit="1" customWidth="1"/>
    <col min="12" max="13" width="19.28515625" customWidth="1"/>
  </cols>
  <sheetData>
    <row r="1" spans="1:12" ht="21.75" thickBot="1" x14ac:dyDescent="0.4">
      <c r="A1" s="2310"/>
      <c r="B1" s="2307" t="s">
        <v>1009</v>
      </c>
      <c r="C1" s="2311"/>
      <c r="D1" s="2311"/>
      <c r="E1" s="2311"/>
      <c r="F1" s="2312"/>
    </row>
    <row r="2" spans="1:12" ht="7.5" customHeight="1" thickBot="1" x14ac:dyDescent="0.4">
      <c r="A2" s="2313"/>
      <c r="B2" s="2314"/>
      <c r="C2" s="2165"/>
      <c r="D2" s="2165"/>
      <c r="E2" s="2165"/>
      <c r="F2" s="2165"/>
    </row>
    <row r="3" spans="1:12" ht="16.5" thickBot="1" x14ac:dyDescent="0.3">
      <c r="A3" s="140" t="s">
        <v>249</v>
      </c>
      <c r="B3" s="1701" t="s">
        <v>105</v>
      </c>
      <c r="C3" s="3106" t="str">
        <f>BGPartnerAP</f>
        <v>AP</v>
      </c>
      <c r="D3" s="3107"/>
      <c r="E3" s="3106" t="str">
        <f>BGPartnerAG</f>
        <v>AG</v>
      </c>
      <c r="F3" s="3107"/>
      <c r="H3" s="476" t="s">
        <v>470</v>
      </c>
      <c r="I3" s="3110" t="str">
        <f>Basisgegevens!$C$22</f>
        <v>2023 - 2e halfjaar</v>
      </c>
      <c r="J3" s="3111"/>
    </row>
    <row r="4" spans="1:12" ht="15.75" thickBot="1" x14ac:dyDescent="0.3">
      <c r="A4" s="1427">
        <f>'Alimentatie 2023-02'!A272</f>
        <v>136</v>
      </c>
      <c r="B4" s="1705" t="str">
        <f>'Alimentatie 2023-02'!B272&amp;"per jaar: "</f>
        <v xml:space="preserve">Draagkrachtruimte:per jaar: </v>
      </c>
      <c r="C4" s="2258"/>
      <c r="D4" s="2259">
        <f ca="1">'Alimentatie 2023-02'!D272*12</f>
        <v>-17700</v>
      </c>
      <c r="E4" s="2260"/>
      <c r="F4" s="2259">
        <f ca="1">'Alimentatie 2023-02'!F272*12</f>
        <v>-17700</v>
      </c>
    </row>
    <row r="5" spans="1:12" ht="16.5" thickBot="1" x14ac:dyDescent="0.3">
      <c r="A5" s="460">
        <f>'Alimentatie 2023-02'!A267</f>
        <v>135</v>
      </c>
      <c r="B5" s="1706" t="str">
        <f>SUBSTITUTE('Alimentatie 2023-02'!B267,":","")&amp;"/Behoefte per jaar: "</f>
        <v xml:space="preserve">Draagkrachtloos inkomen/Behoefte per jaar: </v>
      </c>
      <c r="C5" s="2261">
        <f ca="1">'Alimentatie 2023-02'!D267*12</f>
        <v>17700</v>
      </c>
      <c r="D5" s="2262"/>
      <c r="E5" s="2261">
        <f ca="1">'Alimentatie 2023-02'!F267*12</f>
        <v>17700</v>
      </c>
      <c r="F5" s="2262"/>
      <c r="H5" s="476" t="s">
        <v>351</v>
      </c>
      <c r="I5" s="853">
        <f>Basisgegevens!$C$16</f>
        <v>45108</v>
      </c>
    </row>
    <row r="6" spans="1:12" ht="9.9499999999999993" customHeight="1" thickBot="1" x14ac:dyDescent="0.3">
      <c r="A6"/>
      <c r="C6" s="890"/>
      <c r="D6" s="890"/>
      <c r="E6" s="2131"/>
      <c r="F6" s="890"/>
      <c r="G6" s="53"/>
      <c r="H6" s="53"/>
      <c r="I6" s="53"/>
      <c r="J6" s="53"/>
      <c r="K6" s="1685"/>
      <c r="L6" s="1685"/>
    </row>
    <row r="7" spans="1:12" ht="15.75" thickBot="1" x14ac:dyDescent="0.3">
      <c r="A7" s="1704" t="s">
        <v>249</v>
      </c>
      <c r="B7" s="1701" t="s">
        <v>105</v>
      </c>
      <c r="C7" s="3106" t="str">
        <f>BGPartnerAP</f>
        <v>AP</v>
      </c>
      <c r="D7" s="3107"/>
      <c r="E7" s="3106" t="str">
        <f>BGPartnerAG</f>
        <v>AG</v>
      </c>
      <c r="F7" s="3107"/>
      <c r="G7" s="53"/>
    </row>
    <row r="8" spans="1:12" ht="15.75" thickBot="1" x14ac:dyDescent="0.3">
      <c r="A8" s="1428">
        <f>'Alimentatie 2023-02'!A244</f>
        <v>120</v>
      </c>
      <c r="B8" s="1686" t="s">
        <v>991</v>
      </c>
      <c r="C8" s="567">
        <f ca="1">'Alimentatie 2023-02'!D244</f>
        <v>0</v>
      </c>
      <c r="D8" s="2158"/>
      <c r="E8" s="567">
        <f ca="1">'Alimentatie 2023-02'!F244</f>
        <v>0</v>
      </c>
      <c r="F8" s="2164"/>
      <c r="H8" s="4" t="s">
        <v>889</v>
      </c>
      <c r="L8" s="1685"/>
    </row>
    <row r="9" spans="1:12" ht="15.75" thickBot="1" x14ac:dyDescent="0.3">
      <c r="A9" s="2125"/>
      <c r="B9" s="2167"/>
      <c r="C9" s="2126"/>
      <c r="D9" s="2168"/>
      <c r="E9" s="2126"/>
      <c r="F9" s="2169"/>
      <c r="H9" s="2747" t="s">
        <v>890</v>
      </c>
      <c r="I9" s="3114"/>
      <c r="J9" s="3114"/>
      <c r="K9" s="3115"/>
      <c r="L9" s="1685"/>
    </row>
    <row r="10" spans="1:12" ht="15.75" thickBot="1" x14ac:dyDescent="0.3">
      <c r="A10" s="1204">
        <f>'Alimentatie 2023-02'!A246</f>
        <v>121</v>
      </c>
      <c r="B10" s="2212" t="str">
        <f>TRIM('Alimentatie 2023-02'!B246)</f>
        <v>Netto Besteedbaar Inkomen (NBI) per maand:</v>
      </c>
      <c r="C10" s="2253">
        <f ca="1">'Alimentatie 2023-02'!D246</f>
        <v>0</v>
      </c>
      <c r="D10" s="2213"/>
      <c r="E10" s="2253">
        <f ca="1">'Alimentatie 2023-02'!F246</f>
        <v>0</v>
      </c>
      <c r="F10" s="2214"/>
      <c r="H10" s="3116"/>
      <c r="I10" s="3117"/>
      <c r="J10" s="3117"/>
      <c r="K10" s="3118"/>
      <c r="L10" s="1685"/>
    </row>
    <row r="11" spans="1:12" ht="15.75" thickBot="1" x14ac:dyDescent="0.3">
      <c r="A11" s="1461" t="s">
        <v>990</v>
      </c>
      <c r="B11" s="2157" t="s">
        <v>992</v>
      </c>
      <c r="C11" s="2254">
        <f>Woonlasten_afwijkend!D44</f>
        <v>0</v>
      </c>
      <c r="D11" s="2210"/>
      <c r="E11" s="2254">
        <f>Woonlasten_afwijkend!E44</f>
        <v>0</v>
      </c>
      <c r="F11" s="2211" t="s">
        <v>72</v>
      </c>
      <c r="H11" s="3116"/>
      <c r="I11" s="3117"/>
      <c r="J11" s="3117"/>
      <c r="K11" s="3118"/>
      <c r="L11" s="1685"/>
    </row>
    <row r="12" spans="1:12" ht="15.75" thickBot="1" x14ac:dyDescent="0.3">
      <c r="A12" s="550"/>
      <c r="B12" s="1426" t="s">
        <v>994</v>
      </c>
      <c r="C12" s="2156"/>
      <c r="D12" s="1437">
        <f ca="1">C10-C11</f>
        <v>0</v>
      </c>
      <c r="E12" s="2156"/>
      <c r="F12" s="488">
        <f ca="1">E10-E11</f>
        <v>0</v>
      </c>
      <c r="H12" s="3119"/>
      <c r="I12" s="3120"/>
      <c r="J12" s="3120"/>
      <c r="K12" s="3121"/>
      <c r="L12" s="1685"/>
    </row>
    <row r="13" spans="1:12" ht="6" customHeight="1" x14ac:dyDescent="0.25">
      <c r="B13" s="2157"/>
      <c r="D13" s="582"/>
      <c r="F13" s="582"/>
    </row>
    <row r="14" spans="1:12" ht="16.5" thickBot="1" x14ac:dyDescent="0.3">
      <c r="B14" s="2170" t="s">
        <v>888</v>
      </c>
      <c r="D14" s="582"/>
      <c r="F14" s="582"/>
    </row>
    <row r="15" spans="1:12" ht="15.75" thickBot="1" x14ac:dyDescent="0.3">
      <c r="A15" s="193"/>
      <c r="B15" s="1703" t="s">
        <v>1008</v>
      </c>
      <c r="C15" s="478">
        <f>IF(KAEigenAandeelAP+KAEigenAandeelAG&lt;Kinderalimentatie!H41,Kinderalimentatie!H41-KAEigenAandeelAG,KAEigenAandeelAP)</f>
        <v>0</v>
      </c>
      <c r="D15" s="2159"/>
      <c r="E15" s="478">
        <f>KAEigenAandeelAG</f>
        <v>0</v>
      </c>
      <c r="F15" s="2160" t="s">
        <v>72</v>
      </c>
    </row>
    <row r="16" spans="1:12" ht="15.75" thickBot="1" x14ac:dyDescent="0.3">
      <c r="A16" s="550"/>
      <c r="B16" s="1426" t="s">
        <v>993</v>
      </c>
      <c r="C16" s="2156"/>
      <c r="D16" s="1437">
        <f>C15</f>
        <v>0</v>
      </c>
      <c r="E16" s="2156"/>
      <c r="F16" s="488">
        <f>E15</f>
        <v>0</v>
      </c>
    </row>
    <row r="17" spans="1:13" ht="15.75" thickBot="1" x14ac:dyDescent="0.3">
      <c r="B17" s="2157"/>
    </row>
    <row r="18" spans="1:13" ht="15.75" thickBot="1" x14ac:dyDescent="0.3">
      <c r="A18" s="550"/>
      <c r="B18" s="1426" t="s">
        <v>996</v>
      </c>
      <c r="C18" s="2156"/>
      <c r="D18" s="1437">
        <f ca="1">D12-D16</f>
        <v>0</v>
      </c>
      <c r="E18" s="2156"/>
      <c r="F18" s="488">
        <f ca="1">F12-F16</f>
        <v>0</v>
      </c>
    </row>
    <row r="19" spans="1:13" ht="15.75" thickBot="1" x14ac:dyDescent="0.3">
      <c r="A19" s="549">
        <f>'Alimentatie 2023-02'!A303</f>
        <v>144</v>
      </c>
      <c r="B19" s="1686" t="str">
        <f>'Alimentatie 2023-02'!B304</f>
        <v>Netto alimentatie (NA) volgens berekening Methode Buijs per jaar :</v>
      </c>
      <c r="C19" s="2255"/>
      <c r="D19" s="1698"/>
      <c r="E19" s="2255"/>
      <c r="F19" s="511">
        <f ca="1">'Alimentatie 2023-02'!D303</f>
        <v>0</v>
      </c>
      <c r="L19" s="3100" t="s">
        <v>1146</v>
      </c>
      <c r="M19" s="3101"/>
    </row>
    <row r="20" spans="1:13" ht="15.75" thickBot="1" x14ac:dyDescent="0.3">
      <c r="A20" s="550"/>
      <c r="B20" s="1426" t="s">
        <v>995</v>
      </c>
      <c r="C20" s="2156"/>
      <c r="D20" s="1437">
        <f ca="1">SUM(D18:D19)</f>
        <v>0</v>
      </c>
      <c r="E20" s="2156"/>
      <c r="F20" s="488">
        <f ca="1">SUM(F18:F19)</f>
        <v>0</v>
      </c>
      <c r="L20" s="3102"/>
      <c r="M20" s="3103"/>
    </row>
    <row r="21" spans="1:13" x14ac:dyDescent="0.25">
      <c r="A21" s="1696"/>
      <c r="B21" s="1702" t="s">
        <v>1007</v>
      </c>
      <c r="C21" s="2256"/>
      <c r="D21" s="2134">
        <f ca="1">F21</f>
        <v>0</v>
      </c>
      <c r="E21" s="2256"/>
      <c r="F21" s="1462">
        <f ca="1">((D18+F18)/2)</f>
        <v>0</v>
      </c>
      <c r="L21" s="3102"/>
      <c r="M21" s="3103"/>
    </row>
    <row r="22" spans="1:13" ht="15.75" thickBot="1" x14ac:dyDescent="0.3">
      <c r="A22" s="1697"/>
      <c r="B22" s="1686" t="s">
        <v>1006</v>
      </c>
      <c r="C22" s="2255"/>
      <c r="D22" s="2135"/>
      <c r="E22" s="2257"/>
      <c r="F22" s="2136">
        <f ca="1">F23-F19</f>
        <v>0</v>
      </c>
      <c r="L22" s="3102"/>
      <c r="M22" s="3103"/>
    </row>
    <row r="23" spans="1:13" ht="19.5" thickBot="1" x14ac:dyDescent="0.35">
      <c r="A23" s="2220"/>
      <c r="B23" s="2221" t="s">
        <v>1005</v>
      </c>
      <c r="C23" s="2222"/>
      <c r="D23" s="2223">
        <f ca="1">D20-D21</f>
        <v>0</v>
      </c>
      <c r="E23" s="2222"/>
      <c r="F23" s="2222">
        <f ca="1">D23</f>
        <v>0</v>
      </c>
      <c r="G23" s="2246" t="s">
        <v>527</v>
      </c>
      <c r="L23" s="3102"/>
      <c r="M23" s="3103"/>
    </row>
    <row r="24" spans="1:13" ht="15.75" thickBot="1" x14ac:dyDescent="0.3">
      <c r="A24" s="129"/>
      <c r="B24" s="1654" t="s">
        <v>1011</v>
      </c>
      <c r="C24" s="130"/>
      <c r="D24" s="2137">
        <f ca="1">D108</f>
        <v>0</v>
      </c>
      <c r="E24" s="130"/>
      <c r="F24" s="526">
        <f ca="1">F108</f>
        <v>0</v>
      </c>
      <c r="G24" s="2247">
        <f ca="1">D108-F108</f>
        <v>0</v>
      </c>
      <c r="H24" s="3122" t="str">
        <f ca="1">IF(OR(G24&lt;-0.5,G24&gt;0.5),"LET OP: Het Correctiebedrag in Jusvergelijking (cel J30) klopt niet !!!","Jusvergelijking is Oke!")</f>
        <v>Jusvergelijking is Oke!</v>
      </c>
      <c r="I24" s="2559"/>
      <c r="J24" s="2611"/>
      <c r="L24" s="3102"/>
      <c r="M24" s="3103"/>
    </row>
    <row r="25" spans="1:13" ht="15.75" thickBot="1" x14ac:dyDescent="0.3">
      <c r="L25" s="3102"/>
      <c r="M25" s="3103"/>
    </row>
    <row r="26" spans="1:13" ht="19.5" thickBot="1" x14ac:dyDescent="0.35">
      <c r="A26" s="2215"/>
      <c r="B26" s="2216" t="s">
        <v>1010</v>
      </c>
      <c r="C26" s="2217"/>
      <c r="D26" s="2217"/>
      <c r="E26" s="2218"/>
      <c r="F26" s="2219"/>
      <c r="L26" s="3102"/>
      <c r="M26" s="3103"/>
    </row>
    <row r="27" spans="1:13" ht="15.75" thickBot="1" x14ac:dyDescent="0.3">
      <c r="A27" s="140" t="s">
        <v>249</v>
      </c>
      <c r="B27" s="822" t="s">
        <v>105</v>
      </c>
      <c r="C27" s="3106" t="str">
        <f>BGPartnerAP</f>
        <v>AP</v>
      </c>
      <c r="D27" s="3107"/>
      <c r="E27" s="3112" t="str">
        <f>BGPartnerAG</f>
        <v>AG</v>
      </c>
      <c r="F27" s="3113"/>
      <c r="H27" s="840" t="s">
        <v>524</v>
      </c>
      <c r="I27" s="535" t="str">
        <f>BGPartnerAP</f>
        <v>AP</v>
      </c>
      <c r="J27" s="490" t="str">
        <f>BGPartnerAG</f>
        <v>AG</v>
      </c>
      <c r="L27" s="3102"/>
      <c r="M27" s="3103"/>
    </row>
    <row r="28" spans="1:13" x14ac:dyDescent="0.25">
      <c r="A28" s="1427">
        <f>'Alimentatie 2023-02'!A$44</f>
        <v>59</v>
      </c>
      <c r="B28" s="1417" t="str">
        <f>'Alimentatie 2023-02'!B$44</f>
        <v>Inkomsten uit arbeid:</v>
      </c>
      <c r="C28" s="2138"/>
      <c r="D28" s="491">
        <f>AL59Arbeidsinkomen_AP</f>
        <v>0</v>
      </c>
      <c r="E28" s="2138"/>
      <c r="F28" s="491">
        <f>AL59Arbeidsinkomen_AG</f>
        <v>0</v>
      </c>
      <c r="H28" s="841" t="s">
        <v>471</v>
      </c>
      <c r="I28" s="577">
        <f>D32</f>
        <v>0</v>
      </c>
      <c r="J28" s="491">
        <f>F32</f>
        <v>0</v>
      </c>
      <c r="L28" s="3102"/>
      <c r="M28" s="3103"/>
    </row>
    <row r="29" spans="1:13" x14ac:dyDescent="0.25">
      <c r="A29" s="459">
        <f>'Alimentatie 2023-02'!A$50</f>
        <v>60</v>
      </c>
      <c r="B29" s="1418" t="str">
        <f>'Alimentatie 2023-02'!B$50</f>
        <v>Bruto loon volgens jaaropgaaf werkgever(s)</v>
      </c>
      <c r="C29" s="2139"/>
      <c r="D29" s="1462">
        <f>AL60Arbeidsinkomen_AP</f>
        <v>0</v>
      </c>
      <c r="E29" s="2139"/>
      <c r="F29" s="1462">
        <f>AL60Arbeidsinkomen_AG</f>
        <v>0</v>
      </c>
      <c r="H29" s="842" t="s">
        <v>472</v>
      </c>
      <c r="I29" s="578">
        <f>D35</f>
        <v>0</v>
      </c>
      <c r="J29" s="552">
        <f>F35</f>
        <v>0</v>
      </c>
      <c r="L29" s="3102"/>
      <c r="M29" s="3103"/>
    </row>
    <row r="30" spans="1:13" ht="15.75" thickBot="1" x14ac:dyDescent="0.3">
      <c r="A30" s="217" t="s">
        <v>804</v>
      </c>
      <c r="B30" s="1419" t="s">
        <v>803</v>
      </c>
      <c r="C30" s="2139"/>
      <c r="D30" s="1462">
        <f>SUM('Alimentatie 2023-02'!D$57:D$60)</f>
        <v>0</v>
      </c>
      <c r="E30" s="2139"/>
      <c r="F30" s="1462">
        <f>SUM('Alimentatie 2023-02'!F$57:F$60)</f>
        <v>0</v>
      </c>
      <c r="H30" s="842" t="s">
        <v>473</v>
      </c>
      <c r="I30" s="578">
        <f>D39</f>
        <v>0</v>
      </c>
      <c r="J30" s="553">
        <f>F39</f>
        <v>0</v>
      </c>
      <c r="L30" s="3102"/>
      <c r="M30" s="3103"/>
    </row>
    <row r="31" spans="1:13" ht="15.75" thickBot="1" x14ac:dyDescent="0.3">
      <c r="A31" s="459">
        <f>'Alimentatie 2023-02'!A$80</f>
        <v>78</v>
      </c>
      <c r="B31" s="1418" t="str">
        <f>SUBSTITUTE('Alimentatie 2023-02'!B$80,":","")</f>
        <v>Belastbaar resultaat uit overige werkzaamheden</v>
      </c>
      <c r="C31" s="2139"/>
      <c r="D31" s="1462">
        <f>AL78OverigeWerkz_AP</f>
        <v>0</v>
      </c>
      <c r="E31" s="2139"/>
      <c r="F31" s="1462">
        <f>AL78OverigeWerkz_AG</f>
        <v>0</v>
      </c>
      <c r="H31" s="843" t="s">
        <v>474</v>
      </c>
      <c r="I31" s="583">
        <v>0</v>
      </c>
      <c r="J31" s="584">
        <v>0</v>
      </c>
      <c r="K31" s="588"/>
      <c r="L31" s="3104"/>
      <c r="M31" s="3105"/>
    </row>
    <row r="32" spans="1:13" ht="15.75" thickBot="1" x14ac:dyDescent="0.3">
      <c r="A32" s="1411"/>
      <c r="B32" s="1421" t="s">
        <v>805</v>
      </c>
      <c r="C32" s="494"/>
      <c r="D32" s="494">
        <f>SUM(D28:D31)</f>
        <v>0</v>
      </c>
      <c r="E32" s="494"/>
      <c r="F32" s="494">
        <f>SUM(F28:F31)</f>
        <v>0</v>
      </c>
      <c r="H32" s="847" t="s">
        <v>523</v>
      </c>
      <c r="I32" s="848">
        <f>SUM(I28:I31)</f>
        <v>0</v>
      </c>
      <c r="J32" s="848">
        <f>SUM(J28:J31)</f>
        <v>0</v>
      </c>
      <c r="K32" s="587" t="s">
        <v>526</v>
      </c>
      <c r="L32" s="587" t="s">
        <v>819</v>
      </c>
    </row>
    <row r="33" spans="1:12" ht="16.5" thickBot="1" x14ac:dyDescent="0.3">
      <c r="A33" s="1427">
        <f>'Alimentatie 2023-02'!A$144</f>
        <v>98</v>
      </c>
      <c r="B33" s="1422" t="str">
        <f>SUBSTITUTE('Alimentatie 2023-02'!B$144,":","")</f>
        <v>Inkomen uit aanmerkelijk belang</v>
      </c>
      <c r="C33" s="2138"/>
      <c r="D33" s="491">
        <f>'Alimentatie 2023-02'!D$144</f>
        <v>0</v>
      </c>
      <c r="E33" s="2138"/>
      <c r="F33" s="491">
        <f>'Alimentatie 2023-02'!F144</f>
        <v>0</v>
      </c>
      <c r="H33" s="849" t="s">
        <v>1004</v>
      </c>
      <c r="I33" s="850">
        <f ca="1">D107</f>
        <v>0</v>
      </c>
      <c r="J33" s="851">
        <f ca="1">F107</f>
        <v>0</v>
      </c>
      <c r="K33" s="852">
        <f ca="1">I33-J33</f>
        <v>0</v>
      </c>
      <c r="L33" s="2208">
        <f ca="1">(D107-F107)-(D107-F107)*BGZVWPremie</f>
        <v>0</v>
      </c>
    </row>
    <row r="34" spans="1:12" ht="15.75" thickBot="1" x14ac:dyDescent="0.3">
      <c r="A34" s="460">
        <f>'Alimentatie 2023-02'!A$155</f>
        <v>103</v>
      </c>
      <c r="B34" s="1420" t="str">
        <f>SUBSTITUTE('Alimentatie 2023-02'!B$155,":","")</f>
        <v>Werkelijke vermogensinkomsten</v>
      </c>
      <c r="C34" s="2140"/>
      <c r="D34" s="594">
        <f>'Alimentatie 2023-02'!D$155</f>
        <v>0</v>
      </c>
      <c r="E34" s="2140"/>
      <c r="F34" s="594">
        <f>'Alimentatie 2023-02'!F155</f>
        <v>0</v>
      </c>
      <c r="K34" s="1413"/>
    </row>
    <row r="35" spans="1:12" ht="15.75" thickBot="1" x14ac:dyDescent="0.3">
      <c r="A35" s="1412"/>
      <c r="B35" s="1423" t="s">
        <v>807</v>
      </c>
      <c r="C35" s="502"/>
      <c r="D35" s="502">
        <f>SUM(D33:D34)</f>
        <v>0</v>
      </c>
      <c r="E35" s="502"/>
      <c r="F35" s="502">
        <f>SUM(F33:F34)</f>
        <v>0</v>
      </c>
    </row>
    <row r="36" spans="1:12" x14ac:dyDescent="0.25">
      <c r="A36" s="459">
        <f>'Alimentatie 2023-02'!A216</f>
        <v>118</v>
      </c>
      <c r="B36" s="1424" t="str">
        <f>'Alimentatie 2023-02'!B216</f>
        <v>Onbelast deel waarde vakantiebonnen</v>
      </c>
      <c r="C36" s="2139"/>
      <c r="D36" s="1462">
        <f>'Alimentatie 2023-02'!D$216</f>
        <v>0</v>
      </c>
      <c r="E36" s="2139" t="s">
        <v>77</v>
      </c>
      <c r="F36" s="1462">
        <f>'Alimentatie 2023-02'!F$216</f>
        <v>0</v>
      </c>
      <c r="I36" s="890"/>
      <c r="J36" s="890"/>
      <c r="K36" s="890"/>
    </row>
    <row r="37" spans="1:12" x14ac:dyDescent="0.25">
      <c r="A37" s="839" t="str">
        <f>'Alimentatie 2023-02'!A224</f>
        <v>119a</v>
      </c>
      <c r="B37" s="1425" t="str">
        <f>'Alimentatie 2023-02'!B224</f>
        <v>Totaal Netto inkomsten (incl. evt. KGB):</v>
      </c>
      <c r="C37" s="2141"/>
      <c r="D37" s="2136">
        <f>'Alimentatie 2023-02'!D$224</f>
        <v>0</v>
      </c>
      <c r="E37" s="2141" t="s">
        <v>77</v>
      </c>
      <c r="F37" s="2136">
        <f>'Alimentatie 2023-02'!F$224</f>
        <v>0</v>
      </c>
    </row>
    <row r="38" spans="1:12" ht="15.75" thickBot="1" x14ac:dyDescent="0.3">
      <c r="A38" s="839" t="str">
        <f>'Alimentatie 2023-02'!A227</f>
        <v>119b</v>
      </c>
      <c r="B38" s="2172" t="str">
        <f>'Alimentatie 2023-02'!B227</f>
        <v xml:space="preserve">Post 51a: Netto uitgaven pensioenvoorziening (vrijgesteld in box III) </v>
      </c>
      <c r="C38" s="2142"/>
      <c r="D38" s="2136">
        <f>'Alimentatie 2023-02'!D227</f>
        <v>0</v>
      </c>
      <c r="E38" s="2142" t="s">
        <v>72</v>
      </c>
      <c r="F38" s="2136">
        <f>'Alimentatie 2023-02'!F227</f>
        <v>0</v>
      </c>
    </row>
    <row r="39" spans="1:12" ht="15.75" thickBot="1" x14ac:dyDescent="0.3">
      <c r="A39" s="550"/>
      <c r="B39" s="1426" t="s">
        <v>808</v>
      </c>
      <c r="C39" s="488"/>
      <c r="D39" s="488">
        <f>SUM(D36:D37)-D38</f>
        <v>0</v>
      </c>
      <c r="E39" s="488"/>
      <c r="F39" s="488">
        <f>SUM(F36:F37)-F38</f>
        <v>0</v>
      </c>
    </row>
    <row r="40" spans="1:12" ht="15.75" thickBot="1" x14ac:dyDescent="0.3">
      <c r="A40" s="459"/>
      <c r="B40" s="1418" t="s">
        <v>806</v>
      </c>
      <c r="C40" s="2139"/>
      <c r="D40" s="2187"/>
      <c r="E40" s="2139"/>
      <c r="F40" s="1462">
        <f>J31</f>
        <v>0</v>
      </c>
    </row>
    <row r="41" spans="1:12" ht="15.75" thickBot="1" x14ac:dyDescent="0.3">
      <c r="A41" s="550"/>
      <c r="B41" s="1426" t="s">
        <v>809</v>
      </c>
      <c r="C41" s="488"/>
      <c r="D41" s="488">
        <f>D32+D35+D39+D40</f>
        <v>0</v>
      </c>
      <c r="E41" s="488"/>
      <c r="F41" s="488">
        <f>F32+F35+F39+F40</f>
        <v>0</v>
      </c>
    </row>
    <row r="42" spans="1:12" ht="15.75" thickBot="1" x14ac:dyDescent="0.3"/>
    <row r="43" spans="1:12" ht="15.75" thickBot="1" x14ac:dyDescent="0.3">
      <c r="A43" s="140" t="s">
        <v>249</v>
      </c>
      <c r="B43" s="822" t="s">
        <v>105</v>
      </c>
      <c r="C43" s="3108" t="str">
        <f>BGPartnerAP</f>
        <v>AP</v>
      </c>
      <c r="D43" s="3109"/>
      <c r="E43" s="3106" t="str">
        <f>BGPartnerAG</f>
        <v>AG</v>
      </c>
      <c r="F43" s="3107"/>
    </row>
    <row r="44" spans="1:12" x14ac:dyDescent="0.25">
      <c r="A44" s="1427">
        <f>'Alimentatie 2023-02'!A$56</f>
        <v>64</v>
      </c>
      <c r="B44" s="1414" t="str">
        <f>'Alimentatie 2023-02'!B$56</f>
        <v>Belastbaar loon:</v>
      </c>
      <c r="C44" s="478">
        <f>AL64BelastbaarLoon_AP</f>
        <v>0</v>
      </c>
      <c r="D44" s="2195" t="s">
        <v>77</v>
      </c>
      <c r="E44" s="478">
        <f>AL64BelastbaarLoon_AG</f>
        <v>0</v>
      </c>
      <c r="F44" s="2190" t="s">
        <v>77</v>
      </c>
    </row>
    <row r="45" spans="1:12" ht="15" customHeight="1" x14ac:dyDescent="0.25">
      <c r="A45" s="459">
        <f>'Alimentatie 2023-02'!A$75</f>
        <v>75</v>
      </c>
      <c r="B45" s="486" t="str">
        <f>'Alimentatie 2023-02'!B$75</f>
        <v>Belastbare winst uit onderneming:</v>
      </c>
      <c r="C45" s="500">
        <f>AL75BelastbareWinst_AP</f>
        <v>0</v>
      </c>
      <c r="D45" s="2196" t="s">
        <v>77</v>
      </c>
      <c r="E45" s="500">
        <f>AL75BelastbareWinst_AG</f>
        <v>0</v>
      </c>
      <c r="F45" s="2191" t="s">
        <v>77</v>
      </c>
    </row>
    <row r="46" spans="1:12" ht="15" customHeight="1" x14ac:dyDescent="0.25">
      <c r="A46" s="459">
        <f>'Alimentatie 2023-02'!A$80</f>
        <v>78</v>
      </c>
      <c r="B46" s="486" t="str">
        <f>'Alimentatie 2023-02'!B$80</f>
        <v>Belastbaar resultaat uit overige werkzaamheden:</v>
      </c>
      <c r="C46" s="500">
        <f>AL78OverigeWerkz_AP</f>
        <v>0</v>
      </c>
      <c r="D46" s="2196" t="s">
        <v>77</v>
      </c>
      <c r="E46" s="500">
        <f>AL78OverigeWerkz_AG</f>
        <v>0</v>
      </c>
      <c r="F46" s="2191" t="s">
        <v>77</v>
      </c>
      <c r="H46" s="1"/>
      <c r="I46" s="1"/>
      <c r="J46" s="1"/>
      <c r="K46" s="1"/>
    </row>
    <row r="47" spans="1:12" ht="15" customHeight="1" x14ac:dyDescent="0.25">
      <c r="A47" s="459">
        <f>'Alimentatie 2023-02'!A$86</f>
        <v>81</v>
      </c>
      <c r="B47" s="486" t="str">
        <f>'Alimentatie 2023-02'!B$86</f>
        <v>Belastbare periodieke uitkeringen en verstrekkingen:</v>
      </c>
      <c r="C47" s="500">
        <f>AL81Periodieken_AP</f>
        <v>0</v>
      </c>
      <c r="D47" s="2196" t="s">
        <v>77</v>
      </c>
      <c r="E47" s="500">
        <f>AL81Periodieken_AG</f>
        <v>0</v>
      </c>
      <c r="F47" s="2191" t="s">
        <v>77</v>
      </c>
      <c r="H47" s="1"/>
      <c r="I47" s="1"/>
      <c r="J47" s="1"/>
      <c r="K47" s="1"/>
    </row>
    <row r="48" spans="1:12" ht="15" customHeight="1" x14ac:dyDescent="0.25">
      <c r="A48" s="459">
        <f>'Alimentatie 2023-02'!A$89</f>
        <v>81</v>
      </c>
      <c r="B48" s="2171" t="str">
        <f>'Alimentatie 2023-02'!B89</f>
        <v>OEW Fictief inkomen: Eigen Woning Forfait ontvangen als partneralimentatie</v>
      </c>
      <c r="C48" s="500">
        <f>IF(BGOEWRekenModule="Nee",0,BGOEW81EWFPA_AP)</f>
        <v>0</v>
      </c>
      <c r="D48" s="2196" t="s">
        <v>77</v>
      </c>
      <c r="E48" s="500">
        <f>IF(BGOEWRekenModule="Nee",0,BGOEW81EWFPA_AG)</f>
        <v>0</v>
      </c>
      <c r="F48" s="2191" t="s">
        <v>77</v>
      </c>
      <c r="H48" s="1"/>
      <c r="I48" s="1"/>
      <c r="J48" s="1"/>
      <c r="K48" s="1"/>
    </row>
    <row r="49" spans="1:13" x14ac:dyDescent="0.25">
      <c r="A49" s="459">
        <f>'Alimentatie 2023-02'!A90</f>
        <v>81</v>
      </c>
      <c r="B49" s="486" t="str">
        <f>'Alimentatie 2023-02'!B90</f>
        <v>OEW Fictief inkomen: Rente ontvangen als partneralimentatie</v>
      </c>
      <c r="C49" s="500">
        <f>IF(BGOEWRekenModule="Nee",0,BGOEW81RentePA_AP)</f>
        <v>0</v>
      </c>
      <c r="D49" s="2196"/>
      <c r="E49" s="500">
        <f>IF(BGOEWRekenModule="Nee",0,BGOEW81RentePA_AG)</f>
        <v>0</v>
      </c>
      <c r="F49" s="2191"/>
      <c r="H49" s="1"/>
      <c r="I49" s="1"/>
      <c r="J49" s="1"/>
      <c r="K49" s="1"/>
    </row>
    <row r="50" spans="1:13" x14ac:dyDescent="0.25">
      <c r="A50" s="459">
        <f>'Alimentatie 2023-02'!A$108</f>
        <v>89</v>
      </c>
      <c r="B50" s="486" t="str">
        <f>'Alimentatie 2023-02'!B108</f>
        <v>Uitgaven voor inkomensvoorziening:</v>
      </c>
      <c r="C50" s="500">
        <f>AL89Inkomensvoorz_AP</f>
        <v>0</v>
      </c>
      <c r="D50" s="2196" t="s">
        <v>72</v>
      </c>
      <c r="E50" s="500">
        <f>'Alimentatie 2023-02'!F108</f>
        <v>0</v>
      </c>
      <c r="F50" s="2191" t="s">
        <v>72</v>
      </c>
      <c r="H50" s="1"/>
      <c r="I50" s="1"/>
      <c r="J50" s="1"/>
      <c r="K50" s="1"/>
    </row>
    <row r="51" spans="1:13" x14ac:dyDescent="0.25">
      <c r="A51" s="459">
        <f>'Alimentatie 2023-02'!A$110</f>
        <v>90</v>
      </c>
      <c r="B51" s="486" t="str">
        <f>'Alimentatie 2023-02'!B$110</f>
        <v>Uitgaven voor kinderopvang (vervallen):</v>
      </c>
      <c r="C51" s="500">
        <f>AL89Inkomensvoorz_AG</f>
        <v>0</v>
      </c>
      <c r="D51" s="2143" t="s">
        <v>72</v>
      </c>
      <c r="E51" s="500">
        <f>'Alimentatie 2023-02'!F110</f>
        <v>0</v>
      </c>
      <c r="F51" s="2144" t="s">
        <v>72</v>
      </c>
      <c r="H51" s="1"/>
      <c r="I51" s="1"/>
      <c r="J51" s="1"/>
      <c r="K51" s="1"/>
    </row>
    <row r="52" spans="1:13" x14ac:dyDescent="0.25">
      <c r="A52" s="459">
        <f>'Alimentatie 2023-02'!A$116</f>
        <v>93</v>
      </c>
      <c r="B52" s="486" t="str">
        <f>'Alimentatie 2023-02'!B$116</f>
        <v>Persoonsgebonden aftrek:</v>
      </c>
      <c r="C52" s="500">
        <f>AL93PersGebAftrek_AP</f>
        <v>0</v>
      </c>
      <c r="D52" s="2143" t="s">
        <v>72</v>
      </c>
      <c r="E52" s="500">
        <f>'Alimentatie 2023-02'!F116</f>
        <v>0</v>
      </c>
      <c r="F52" s="2144" t="s">
        <v>72</v>
      </c>
      <c r="H52" s="1"/>
      <c r="I52" s="1"/>
      <c r="J52" s="1"/>
      <c r="K52" s="1"/>
    </row>
    <row r="53" spans="1:13" x14ac:dyDescent="0.25">
      <c r="A53" s="459">
        <f>'Alimentatie 2023-02'!A$279</f>
        <v>138</v>
      </c>
      <c r="B53" s="826" t="str">
        <f>'Alimentatie 2023-02'!B$279</f>
        <v xml:space="preserve">Alimentatieverplichting (eerdere) ex-partner </v>
      </c>
      <c r="C53" s="511">
        <f>'Alimentatie 2023-02'!D$279*12</f>
        <v>0</v>
      </c>
      <c r="D53" s="2143" t="s">
        <v>72</v>
      </c>
      <c r="E53" s="511">
        <f>('Alimentatie 2023-02'!F279+'Alimentatie 2023-02'!F282)*12</f>
        <v>0</v>
      </c>
      <c r="F53" s="2144" t="s">
        <v>72</v>
      </c>
      <c r="H53" s="1"/>
      <c r="I53" s="1"/>
      <c r="J53" s="1"/>
      <c r="K53" s="1"/>
    </row>
    <row r="54" spans="1:13" ht="15.75" thickBot="1" x14ac:dyDescent="0.3">
      <c r="A54" s="460">
        <f>'Alimentatie 2023-02'!A$282</f>
        <v>138</v>
      </c>
      <c r="B54" s="2172" t="str">
        <f>'Alimentatie 2023-02'!B$282</f>
        <v>OEW: Hypotheekrente betaald voor ex. partner als partneralimentatie</v>
      </c>
      <c r="C54" s="511">
        <f>IF(BGOEWRekenModule="Nee",0,BGOEW138RentePA_AP)</f>
        <v>0</v>
      </c>
      <c r="D54" s="2143" t="s">
        <v>72</v>
      </c>
      <c r="E54" s="511"/>
      <c r="F54" s="2144" t="s">
        <v>72</v>
      </c>
    </row>
    <row r="55" spans="1:13" ht="15.75" thickBot="1" x14ac:dyDescent="0.3">
      <c r="A55" s="550"/>
      <c r="B55" s="1426" t="s">
        <v>812</v>
      </c>
      <c r="C55" s="488">
        <f>SUM(C44:C49)-SUM(C50:C54)</f>
        <v>0</v>
      </c>
      <c r="D55" s="1437"/>
      <c r="E55" s="488">
        <f>SUM(E44:E49)-SUM(E50:E54)</f>
        <v>0</v>
      </c>
      <c r="F55" s="488"/>
    </row>
    <row r="56" spans="1:13" ht="15.75" thickBot="1" x14ac:dyDescent="0.3">
      <c r="A56" s="249"/>
      <c r="B56" s="827" t="s">
        <v>810</v>
      </c>
      <c r="C56" s="501">
        <f>J31</f>
        <v>0</v>
      </c>
      <c r="D56" s="2145" t="s">
        <v>72</v>
      </c>
      <c r="E56" s="501">
        <f>J31</f>
        <v>0</v>
      </c>
      <c r="F56" s="2146" t="s">
        <v>72</v>
      </c>
    </row>
    <row r="57" spans="1:13" ht="15.75" thickBot="1" x14ac:dyDescent="0.3">
      <c r="A57" s="1411">
        <v>94</v>
      </c>
      <c r="B57" s="1440" t="s">
        <v>813</v>
      </c>
      <c r="C57" s="494">
        <f>C55-C56</f>
        <v>0</v>
      </c>
      <c r="D57" s="2147"/>
      <c r="E57" s="494">
        <f>E55+E56</f>
        <v>0</v>
      </c>
      <c r="F57" s="2148"/>
      <c r="H57" s="890"/>
    </row>
    <row r="58" spans="1:13" x14ac:dyDescent="0.25">
      <c r="A58" s="1449"/>
      <c r="B58" s="1446" t="s">
        <v>817</v>
      </c>
      <c r="C58" s="1450">
        <f>IF(Basisgegevens!V11&lt;=0,'Alimentatie 2023-02'!D134-(J31*BGBelastingTariefSchijf1),Basisgegevens!V11)</f>
        <v>0</v>
      </c>
      <c r="D58" s="2192" t="s">
        <v>77</v>
      </c>
      <c r="E58" s="1450">
        <f>Basisgegevens!W11</f>
        <v>0</v>
      </c>
      <c r="F58" s="2192" t="s">
        <v>77</v>
      </c>
      <c r="G58" s="890"/>
      <c r="H58" s="890"/>
      <c r="I58" s="890"/>
    </row>
    <row r="59" spans="1:13" x14ac:dyDescent="0.25">
      <c r="A59" s="1438">
        <f>'Alimentatie 2023-02'!A147</f>
        <v>101</v>
      </c>
      <c r="B59" s="1442" t="str">
        <f>'Alimentatie 2023-02'!B147</f>
        <v>Inkomstebelasting (vast tarief 26,9%) box II:</v>
      </c>
      <c r="C59" s="1443">
        <f>'Alimentatie 2023-02'!D147</f>
        <v>0</v>
      </c>
      <c r="D59" s="2193" t="s">
        <v>77</v>
      </c>
      <c r="E59" s="1443">
        <f>'Alimentatie 2023-02'!F147</f>
        <v>0</v>
      </c>
      <c r="F59" s="2193" t="s">
        <v>77</v>
      </c>
    </row>
    <row r="60" spans="1:13" ht="15.75" thickBot="1" x14ac:dyDescent="0.3">
      <c r="A60" s="1439">
        <f>'Alimentatie 2023-02'!A176</f>
        <v>112</v>
      </c>
      <c r="B60" s="1451" t="str">
        <f>'Alimentatie 2023-02'!B176</f>
        <v>Inkomstebelasting (vast tarief 32%) box III:</v>
      </c>
      <c r="C60" s="1452">
        <f>'Alimentatie 2023-02'!D176</f>
        <v>0</v>
      </c>
      <c r="D60" s="2194" t="s">
        <v>77</v>
      </c>
      <c r="E60" s="1452">
        <f>'Alimentatie 2023-02'!F176</f>
        <v>0</v>
      </c>
      <c r="F60" s="2194" t="s">
        <v>77</v>
      </c>
      <c r="G60" s="890"/>
    </row>
    <row r="61" spans="1:13" x14ac:dyDescent="0.25">
      <c r="A61" s="193"/>
      <c r="B61" s="1454" t="s">
        <v>814</v>
      </c>
      <c r="C61" s="2149"/>
      <c r="D61" s="2162">
        <f>C57</f>
        <v>0</v>
      </c>
      <c r="E61" s="1445"/>
      <c r="F61" s="2162">
        <f>L31+SUM('Alimentatie 2023-02'!F69:F74)+E53+E54</f>
        <v>0</v>
      </c>
    </row>
    <row r="62" spans="1:13" ht="15.75" thickBot="1" x14ac:dyDescent="0.3">
      <c r="A62" s="10"/>
      <c r="B62" s="1455" t="s">
        <v>815</v>
      </c>
      <c r="C62" s="1444">
        <f>IF(D61&lt;=0.01,0,(BGBelastingTariefSchijf2-BGBelastingTariefBeperking)*IF(D61-(BGBelastingbedragSchijf3-C57)&gt;D61,D61,D62))</f>
        <v>0</v>
      </c>
      <c r="D62" s="594">
        <f>IF(D61&lt;=0.01,0,IF(C$57-BGBelastingbedragSchijf3&lt;0,D61-(BGBelastingbedragSchijf3-C57),IF(C$57-BGBelastingbedragSchijf3&lt;=SUM('Alimentatie 2023-02'!B$69:B$74)+SUM('Alimentatie 2023-02'!B$97:B$101)+AL93PersGebAftrek_AP,C$57-BGBelastingbedragSchijf3,SUM('Alimentatie 2023-02'!B$69:$D74)+SUM('Alimentatie 2023-02'!B$97:B$102)+AL93PersGebAftrek_AP)))</f>
        <v>0</v>
      </c>
      <c r="E62" s="1444">
        <f>(BGBelastingTariefSchijf2-BGBelastingTariefBeperking)*IF(F61-(BGBelastingbedragSchijf3-E57)&gt;F61,F61,F62)</f>
        <v>0</v>
      </c>
      <c r="F62" s="594">
        <f>IF(E$57-BGBelastingbedragSchijf3&lt;=0,0,IF(E$57-BGBelastingbedragSchijf3&lt;=SUM('Alimentatie 2023-02'!D$69:D$74)+SUM('Alimentatie 2023-02'!D$97:D$101)+AL93PersGebAftrek_AP,E$57-BGBelastingbedragSchijf3,SUM('Alimentatie 2023-02'!D$69:$D74)+SUM('Alimentatie 2023-02'!D$97:D$102)+AL93PersGebAftrek_AP))</f>
        <v>0</v>
      </c>
      <c r="M62" s="2209"/>
    </row>
    <row r="63" spans="1:13" ht="15.75" thickBot="1" x14ac:dyDescent="0.3">
      <c r="A63" s="1412"/>
      <c r="B63" s="1448" t="s">
        <v>517</v>
      </c>
      <c r="C63" s="488">
        <f>SUM(C58:C62)</f>
        <v>0</v>
      </c>
      <c r="D63" s="1437"/>
      <c r="E63" s="488">
        <f>SUM(E58:E62)</f>
        <v>0</v>
      </c>
      <c r="F63" s="540"/>
    </row>
    <row r="64" spans="1:13" ht="15.75" thickBot="1" x14ac:dyDescent="0.3">
      <c r="A64" s="581"/>
      <c r="C64" s="582"/>
      <c r="E64" s="582"/>
    </row>
    <row r="65" spans="1:7" ht="15.75" thickBot="1" x14ac:dyDescent="0.3">
      <c r="A65" s="568"/>
      <c r="B65" s="821" t="s">
        <v>514</v>
      </c>
      <c r="C65" s="3108" t="str">
        <f>BGPartnerAP</f>
        <v>AP</v>
      </c>
      <c r="D65" s="3109"/>
      <c r="E65" s="3108" t="str">
        <f>BGPartnerAG</f>
        <v>AG</v>
      </c>
      <c r="F65" s="3109"/>
    </row>
    <row r="66" spans="1:7" x14ac:dyDescent="0.25">
      <c r="A66" s="566"/>
      <c r="B66" s="823" t="s">
        <v>138</v>
      </c>
      <c r="C66" s="567">
        <f>IF(BGAOWLeeftijdBereikt_AP="Nee",Basisgegevens!T101,Basisgegevens!T110)</f>
        <v>0</v>
      </c>
      <c r="D66" s="2150" t="s">
        <v>77</v>
      </c>
      <c r="E66" s="844">
        <f>IF(BGAOWLeeftijdBereikt_AG="Nee",Basisgegevens!U101,Basisgegevens!U110)</f>
        <v>0</v>
      </c>
      <c r="F66" s="2150" t="s">
        <v>77</v>
      </c>
    </row>
    <row r="67" spans="1:7" x14ac:dyDescent="0.25">
      <c r="A67" s="549"/>
      <c r="B67" s="824" t="s">
        <v>137</v>
      </c>
      <c r="C67" s="511">
        <f>IF(BGAOWLeeftijdBereikt_AP="Nee",Basisgegevens!T121,Basisgegevens!T130)</f>
        <v>0</v>
      </c>
      <c r="D67" s="2151" t="s">
        <v>77</v>
      </c>
      <c r="E67" s="845">
        <f>IF(BGAOWLeeftijdBereikt_AG="Nee",Basisgegevens!U121,Basisgegevens!U130)</f>
        <v>0</v>
      </c>
      <c r="F67" s="2151" t="s">
        <v>77</v>
      </c>
    </row>
    <row r="68" spans="1:7" x14ac:dyDescent="0.25">
      <c r="A68" s="549"/>
      <c r="B68" s="824" t="s">
        <v>37</v>
      </c>
      <c r="C68" s="511" t="str">
        <f>IF(OR(Basisgegevens!T84="n.v.t",Basisgegevens!T84="zie AOW-tabel"),Basisgegevens!T92,Basisgegevens!T84)</f>
        <v>n.v.t</v>
      </c>
      <c r="D68" s="2151" t="s">
        <v>77</v>
      </c>
      <c r="E68" s="845" t="str">
        <f>IF(OR(Basisgegevens!U84="n.v.t",Basisgegevens!U84="zie AOW-tabel"),Basisgegevens!U92,Basisgegevens!U84)</f>
        <v>n.v.t</v>
      </c>
      <c r="F68" s="2151" t="s">
        <v>77</v>
      </c>
    </row>
    <row r="69" spans="1:7" x14ac:dyDescent="0.25">
      <c r="A69" s="549"/>
      <c r="B69" s="824" t="s">
        <v>38</v>
      </c>
      <c r="C69" s="511" t="str">
        <f>Basisgegevens!Q138</f>
        <v>n.v.t</v>
      </c>
      <c r="D69" s="2151" t="s">
        <v>77</v>
      </c>
      <c r="E69" s="845" t="str">
        <f>Basisgegevens!U138</f>
        <v>n.v.t</v>
      </c>
      <c r="F69" s="2151" t="s">
        <v>77</v>
      </c>
    </row>
    <row r="70" spans="1:7" x14ac:dyDescent="0.25">
      <c r="A70" s="549"/>
      <c r="B70" s="824" t="s">
        <v>144</v>
      </c>
      <c r="C70" s="511" t="str">
        <f>Basisgegevens!Q56</f>
        <v>n.v.t</v>
      </c>
      <c r="D70" s="2151" t="s">
        <v>77</v>
      </c>
      <c r="E70" s="845" t="str">
        <f>Basisgegevens!R56</f>
        <v>n.v.t</v>
      </c>
      <c r="F70" s="2151" t="s">
        <v>77</v>
      </c>
    </row>
    <row r="71" spans="1:7" ht="15.75" thickBot="1" x14ac:dyDescent="0.3">
      <c r="A71" s="10"/>
      <c r="B71" s="825" t="s">
        <v>516</v>
      </c>
      <c r="C71" s="501">
        <f>'Alimentatie 2023-02'!D189</f>
        <v>0</v>
      </c>
      <c r="D71" s="2152" t="s">
        <v>77</v>
      </c>
      <c r="E71" s="846">
        <f>'Alimentatie 2023-02'!F189</f>
        <v>0</v>
      </c>
      <c r="F71" s="2152" t="s">
        <v>77</v>
      </c>
    </row>
    <row r="72" spans="1:7" ht="15.75" thickBot="1" x14ac:dyDescent="0.3">
      <c r="A72" s="550">
        <f>'Alimentatie 2023-02'!A190</f>
        <v>116</v>
      </c>
      <c r="B72" s="819" t="s">
        <v>515</v>
      </c>
      <c r="C72" s="488">
        <f>SUM(C66:C71)</f>
        <v>0</v>
      </c>
      <c r="D72" s="540"/>
      <c r="E72" s="539">
        <f>SUM(E66:E71)</f>
        <v>0</v>
      </c>
      <c r="F72" s="540"/>
    </row>
    <row r="73" spans="1:7" ht="15.75" thickBot="1" x14ac:dyDescent="0.3">
      <c r="A73" s="129">
        <f>'Alimentatie 2023-02'!A191</f>
        <v>117</v>
      </c>
      <c r="B73" s="1447" t="str">
        <f>'Alimentatie 2023-02'!B191</f>
        <v>Verschuldigde inkomensheffing:</v>
      </c>
      <c r="C73" s="2153"/>
      <c r="D73" s="130">
        <f>IF(C63-C72&lt;0,0,C63-C72)</f>
        <v>0</v>
      </c>
      <c r="E73" s="2154"/>
      <c r="F73" s="130">
        <f>IF(E63-E72&lt;0,0,E63-E72)</f>
        <v>0</v>
      </c>
    </row>
    <row r="74" spans="1:7" ht="15.75" thickBot="1" x14ac:dyDescent="0.3">
      <c r="A74" s="581"/>
      <c r="C74" s="582"/>
      <c r="E74" s="582"/>
    </row>
    <row r="75" spans="1:7" ht="15.75" thickBot="1" x14ac:dyDescent="0.3">
      <c r="A75" s="568"/>
      <c r="B75" s="837" t="s">
        <v>518</v>
      </c>
      <c r="C75" s="3108" t="str">
        <f>BGPartnerAP</f>
        <v>AP</v>
      </c>
      <c r="D75" s="3109"/>
      <c r="E75" s="3106" t="str">
        <f>BGPartnerAG</f>
        <v>AG</v>
      </c>
      <c r="F75" s="3107"/>
    </row>
    <row r="76" spans="1:7" ht="15.75" thickBot="1" x14ac:dyDescent="0.3">
      <c r="A76" s="2173"/>
      <c r="B76" t="s">
        <v>518</v>
      </c>
      <c r="C76" s="2155"/>
      <c r="D76" s="2163">
        <f>D41-D73</f>
        <v>0</v>
      </c>
      <c r="E76" s="2234" t="s">
        <v>77</v>
      </c>
      <c r="F76" s="2163">
        <f>F41-F73</f>
        <v>0</v>
      </c>
    </row>
    <row r="77" spans="1:7" ht="15.75" thickBot="1" x14ac:dyDescent="0.3">
      <c r="A77" s="2175" t="str">
        <f>A11</f>
        <v>125-134</v>
      </c>
      <c r="B77" s="2229" t="str">
        <f>B11</f>
        <v xml:space="preserve">Niet vermijdbare en aantoonbare extra lasten per maand (post 125 t/m 134): </v>
      </c>
      <c r="C77" s="2176"/>
      <c r="D77" s="493">
        <f>Woonlasten_afwijkend!D44*12</f>
        <v>0</v>
      </c>
      <c r="E77" s="2235" t="s">
        <v>818</v>
      </c>
      <c r="F77" s="493">
        <f>Woonlasten_afwijkend!F44*12</f>
        <v>0</v>
      </c>
      <c r="G77" s="2230" t="s">
        <v>72</v>
      </c>
    </row>
    <row r="78" spans="1:7" ht="18" thickBot="1" x14ac:dyDescent="0.45">
      <c r="A78" s="2224"/>
      <c r="B78" s="2225" t="s">
        <v>999</v>
      </c>
      <c r="C78" s="2226"/>
      <c r="D78" s="2227"/>
      <c r="E78" s="2226"/>
      <c r="F78" s="2228"/>
    </row>
    <row r="79" spans="1:7" x14ac:dyDescent="0.25">
      <c r="A79" s="1427" t="str">
        <f>'Alimentatie 2023-02'!A$197</f>
        <v>41/57</v>
      </c>
      <c r="B79" s="455" t="str">
        <f>'Alimentatie 2023-02'!B$197</f>
        <v>Ink.afhankelijke bijdrage premie ZVW al betaald bij post 41 Looninkomsten</v>
      </c>
      <c r="C79" s="527">
        <f>'Alimentatie 2023-02'!E$197</f>
        <v>0</v>
      </c>
      <c r="D79" s="2391" t="s">
        <v>72</v>
      </c>
      <c r="E79" s="527">
        <f>'Alimentatie 2023-02'!G$197</f>
        <v>0</v>
      </c>
      <c r="F79" s="2231" t="s">
        <v>72</v>
      </c>
    </row>
    <row r="80" spans="1:7" x14ac:dyDescent="0.25">
      <c r="A80" s="459" t="str">
        <f>'Alimentatie 2023-02'!A$198</f>
        <v>42/57</v>
      </c>
      <c r="B80" s="2395" t="str">
        <f>'Alimentatie 2023-02'!B$198</f>
        <v>Ink.afhankelijke bijdrage premie ZVW al betaald bij post 42 AOW</v>
      </c>
      <c r="C80" s="528">
        <f>'Alimentatie 2023-02'!E$198</f>
        <v>0</v>
      </c>
      <c r="D80" s="2392" t="s">
        <v>72</v>
      </c>
      <c r="E80" s="528">
        <f>'Alimentatie 2023-02'!G$198</f>
        <v>0</v>
      </c>
      <c r="F80" s="2390" t="s">
        <v>72</v>
      </c>
    </row>
    <row r="81" spans="1:7" ht="15.75" thickBot="1" x14ac:dyDescent="0.3">
      <c r="A81" s="460" t="str">
        <f>'Alimentatie 2023-02'!A$199</f>
        <v>50/57</v>
      </c>
      <c r="B81" s="2396" t="str">
        <f>'Alimentatie 2023-02'!B$199</f>
        <v>Ink.afhankelijke bijdrage premie ZVW al betaald bij post 50 Pensioen</v>
      </c>
      <c r="C81" s="2388">
        <f>'Alimentatie 2023-02'!E$199</f>
        <v>0</v>
      </c>
      <c r="D81" s="2399" t="s">
        <v>72</v>
      </c>
      <c r="E81" s="2388">
        <f>'Alimentatie 2023-02'!G$199</f>
        <v>0</v>
      </c>
      <c r="F81" s="2400" t="s">
        <v>72</v>
      </c>
    </row>
    <row r="82" spans="1:7" x14ac:dyDescent="0.25">
      <c r="A82" s="458" t="str">
        <f>'Alimentatie 2023-02'!A$205</f>
        <v>44/47/48</v>
      </c>
      <c r="B82" s="887" t="str">
        <f>'Alimentatie 2023-02'!B$205</f>
        <v>Bruto arbeidsinkomen uit dienstbetrekking (1 en 2) als DGA? Nee (AP) / Nee (AG)</v>
      </c>
      <c r="C82" s="529">
        <f>'Alimentatie 2023-02'!E$205</f>
        <v>0</v>
      </c>
      <c r="D82" s="2397" t="s">
        <v>72</v>
      </c>
      <c r="E82" s="529">
        <f>'Alimentatie 2023-02'!G$205</f>
        <v>0</v>
      </c>
      <c r="F82" s="2398" t="s">
        <v>72</v>
      </c>
    </row>
    <row r="83" spans="1:7" x14ac:dyDescent="0.25">
      <c r="A83" s="459">
        <f>'Alimentatie 2023-02'!A$206</f>
        <v>75</v>
      </c>
      <c r="B83" s="2395" t="str">
        <f>'Alimentatie 2023-02'!B$206</f>
        <v>Belastbare winst uit onderneming</v>
      </c>
      <c r="C83" s="528">
        <f>'Alimentatie 2023-02'!E$206</f>
        <v>0</v>
      </c>
      <c r="D83" s="2393" t="s">
        <v>72</v>
      </c>
      <c r="E83" s="528">
        <f>'Alimentatie 2023-02'!G$206</f>
        <v>0</v>
      </c>
      <c r="F83" s="2232" t="s">
        <v>72</v>
      </c>
    </row>
    <row r="84" spans="1:7" x14ac:dyDescent="0.25">
      <c r="A84" s="459">
        <f>'Alimentatie 2023-02'!A$207</f>
        <v>78</v>
      </c>
      <c r="B84" s="2395" t="str">
        <f>'Alimentatie 2023-02'!B$207</f>
        <v>Belastbaar resultaat uit overige werkzaamheden</v>
      </c>
      <c r="C84" s="528">
        <f>'Alimentatie 2023-02'!E$207</f>
        <v>0</v>
      </c>
      <c r="D84" s="2393" t="s">
        <v>72</v>
      </c>
      <c r="E84" s="528">
        <f>'Alimentatie 2023-02'!G$207</f>
        <v>0</v>
      </c>
      <c r="F84" s="2232" t="s">
        <v>72</v>
      </c>
    </row>
    <row r="85" spans="1:7" x14ac:dyDescent="0.25">
      <c r="A85" s="459">
        <f>'Alimentatie 2023-02'!A$209</f>
        <v>81</v>
      </c>
      <c r="B85" s="2395" t="str">
        <f>'Alimentatie 2023-02'!B$209</f>
        <v>Belastbare periodieke uitkeringen en verstrekkingen</v>
      </c>
      <c r="C85" s="528">
        <f>'Alimentatie 2023-02'!E$209</f>
        <v>0</v>
      </c>
      <c r="D85" s="2393" t="s">
        <v>72</v>
      </c>
      <c r="E85" s="528">
        <f>'Alimentatie 2023-02'!G$209</f>
        <v>0</v>
      </c>
      <c r="F85" s="2232" t="s">
        <v>72</v>
      </c>
    </row>
    <row r="86" spans="1:7" x14ac:dyDescent="0.25">
      <c r="A86" s="459" t="str">
        <f>'Alimentatie 2023-02'!A$210</f>
        <v>117a</v>
      </c>
      <c r="B86" s="2395" t="str">
        <f>'Alimentatie 2023-02'!B$210</f>
        <v>OEW: Eigen Woning Forfait bijdrage ZVW over EWF berekenen over</v>
      </c>
      <c r="C86" s="528">
        <f ca="1">'Alimentatie 2023-02'!E$210</f>
        <v>0</v>
      </c>
      <c r="D86" s="2393" t="s">
        <v>72</v>
      </c>
      <c r="E86" s="528">
        <f ca="1">'Alimentatie 2023-02'!G$210</f>
        <v>0</v>
      </c>
      <c r="F86" s="2232" t="s">
        <v>72</v>
      </c>
    </row>
    <row r="87" spans="1:7" ht="15.75" thickBot="1" x14ac:dyDescent="0.3">
      <c r="A87" s="460" t="str">
        <f>'Alimentatie 2023-02'!A$211</f>
        <v>117a</v>
      </c>
      <c r="B87" s="2396" t="str">
        <f>'Alimentatie 2023-02'!B$211</f>
        <v>OEW: Rente bijdrage ZVW over de rente berekenen over</v>
      </c>
      <c r="C87" s="2388">
        <f ca="1">'Alimentatie 2023-02'!E$211</f>
        <v>0</v>
      </c>
      <c r="D87" s="2394" t="s">
        <v>72</v>
      </c>
      <c r="E87" s="2388">
        <f ca="1">'Alimentatie 2023-02'!G$211</f>
        <v>0</v>
      </c>
      <c r="F87" s="2233" t="s">
        <v>72</v>
      </c>
    </row>
    <row r="88" spans="1:7" ht="15.75" thickBot="1" x14ac:dyDescent="0.3">
      <c r="A88" s="2385"/>
      <c r="B88" s="2386" t="s">
        <v>998</v>
      </c>
      <c r="C88" s="2387"/>
      <c r="D88" s="2389">
        <f ca="1">SUM(C79:C87)</f>
        <v>0</v>
      </c>
      <c r="E88" s="2211" t="s">
        <v>72</v>
      </c>
      <c r="F88" s="2389">
        <f ca="1">SUM(E79:E87)</f>
        <v>0</v>
      </c>
      <c r="G88" s="2178" t="s">
        <v>72</v>
      </c>
    </row>
    <row r="89" spans="1:7" ht="15.75" thickBot="1" x14ac:dyDescent="0.3">
      <c r="A89" s="1428">
        <v>117</v>
      </c>
      <c r="B89" s="2197" t="s">
        <v>997</v>
      </c>
      <c r="C89" s="2177"/>
      <c r="D89" s="2264" t="s">
        <v>269</v>
      </c>
      <c r="E89" s="492"/>
      <c r="F89" s="2174">
        <f>IF(OR(AL117aRestZVWbedrag_AG&lt;=0,E$56=0),0,IF(AL117aRestZVWbedrag_AG-E$56&lt;=0,AL117aRestZVWbedrag_AG*BGZVWPremie,IF(E$56&gt;BGZVWJaarInkomen,BGZVWJaarInkomen,E$56)*BGZVWPremie))</f>
        <v>0</v>
      </c>
      <c r="G89" s="2178" t="s">
        <v>72</v>
      </c>
    </row>
    <row r="90" spans="1:7" ht="15.75" thickBot="1" x14ac:dyDescent="0.3">
      <c r="A90" s="550"/>
      <c r="B90" s="1426" t="s">
        <v>507</v>
      </c>
      <c r="C90" s="2156"/>
      <c r="D90" s="1437">
        <f ca="1">D76-D77-D88</f>
        <v>0</v>
      </c>
      <c r="E90" s="2156"/>
      <c r="F90" s="488">
        <f ca="1">F76-F77-F88-F89</f>
        <v>0</v>
      </c>
    </row>
    <row r="91" spans="1:7" ht="15.75" thickBot="1" x14ac:dyDescent="0.3">
      <c r="A91" s="581"/>
      <c r="C91" s="582"/>
      <c r="E91" s="582"/>
    </row>
    <row r="92" spans="1:7" ht="15.75" thickBot="1" x14ac:dyDescent="0.3">
      <c r="A92" s="1458" t="s">
        <v>249</v>
      </c>
      <c r="B92" s="1459" t="s">
        <v>525</v>
      </c>
      <c r="C92" s="3108" t="str">
        <f>BGPartnerAP</f>
        <v>AP</v>
      </c>
      <c r="D92" s="3109"/>
      <c r="E92" s="3106" t="str">
        <f>BGPartnerAG</f>
        <v>AG</v>
      </c>
      <c r="F92" s="3107"/>
    </row>
    <row r="93" spans="1:7" x14ac:dyDescent="0.25">
      <c r="A93" s="1427">
        <f>'Alimentatie 2023-02'!A288</f>
        <v>141</v>
      </c>
      <c r="B93" s="2179" t="str">
        <f>'Alimentatie 2023-02'!B290</f>
        <v>Eigen aandeel kosten kinderen</v>
      </c>
      <c r="C93" s="478">
        <f>'Alimentatie 2023-02'!D290*12</f>
        <v>0</v>
      </c>
      <c r="D93" s="2248" t="s">
        <v>77</v>
      </c>
      <c r="E93" s="527">
        <f>'Alimentatie 2023-02'!F290*12</f>
        <v>0</v>
      </c>
      <c r="F93" s="2248" t="s">
        <v>77</v>
      </c>
    </row>
    <row r="94" spans="1:7" x14ac:dyDescent="0.25">
      <c r="A94" s="459">
        <f>'Alimentatie 2023-02'!A288</f>
        <v>141</v>
      </c>
      <c r="B94" s="1460" t="str">
        <f>'Alimentatie 2023-02'!B289</f>
        <v>Verblijfskosten kinderen (Zorgkorting)</v>
      </c>
      <c r="C94" s="500">
        <f>'Alimentatie 2023-02'!D289*12</f>
        <v>0</v>
      </c>
      <c r="D94" s="2249" t="s">
        <v>77</v>
      </c>
      <c r="E94" s="528">
        <f>'Alimentatie 2023-02'!F289*12</f>
        <v>0</v>
      </c>
      <c r="F94" s="2249" t="s">
        <v>77</v>
      </c>
    </row>
    <row r="95" spans="1:7" x14ac:dyDescent="0.25">
      <c r="A95" s="2183">
        <f>'Alimentatie 2023-02'!A288</f>
        <v>141</v>
      </c>
      <c r="B95" s="2185" t="str">
        <f>'Alimentatie 2023-02'!B288</f>
        <v>Kinderalimentatie</v>
      </c>
      <c r="C95" s="1443">
        <f>'Alimentatie 2023-02'!D288*12</f>
        <v>0</v>
      </c>
      <c r="D95" s="2250" t="s">
        <v>77</v>
      </c>
      <c r="E95" s="1443">
        <f>'Alimentatie 2023-02'!F288*12</f>
        <v>0</v>
      </c>
      <c r="F95" s="2250" t="s">
        <v>77</v>
      </c>
    </row>
    <row r="96" spans="1:7" x14ac:dyDescent="0.25">
      <c r="A96" s="2183" t="str">
        <f>'Alimentatie 2023-02'!A278</f>
        <v>137a</v>
      </c>
      <c r="B96" s="2185" t="str">
        <f>'Alimentatie 2023-02'!B278</f>
        <v>Andere onderhoudsverplichtingen</v>
      </c>
      <c r="C96" s="1443">
        <f>'Alimentatie 2023-02'!D278*12</f>
        <v>0</v>
      </c>
      <c r="D96" s="2250" t="s">
        <v>77</v>
      </c>
      <c r="E96" s="1443">
        <f>'Alimentatie 2023-02'!F278*12</f>
        <v>0</v>
      </c>
      <c r="F96" s="2250" t="s">
        <v>77</v>
      </c>
    </row>
    <row r="97" spans="1:7" ht="15.75" thickBot="1" x14ac:dyDescent="0.3">
      <c r="A97" s="839" t="str">
        <f>'Alimentatie 2023-02'!A292</f>
        <v>141c</v>
      </c>
      <c r="B97" s="1436" t="str">
        <f>'Alimentatie 2023-02'!B292</f>
        <v>Andere onderhoudsverplichtingen</v>
      </c>
      <c r="C97" s="511">
        <f>'Alimentatie 2023-02'!D292*12</f>
        <v>0</v>
      </c>
      <c r="D97" s="2251" t="s">
        <v>77</v>
      </c>
      <c r="E97" s="530">
        <f>'Alimentatie 2023-02'!F292*12</f>
        <v>0</v>
      </c>
      <c r="F97" s="2251" t="s">
        <v>77</v>
      </c>
    </row>
    <row r="98" spans="1:7" ht="15.75" thickBot="1" x14ac:dyDescent="0.3">
      <c r="A98" s="2199"/>
      <c r="B98" s="2200"/>
      <c r="C98" s="2201">
        <f>SUM(C93:C97)</f>
        <v>0</v>
      </c>
      <c r="D98" s="2201"/>
      <c r="E98" s="2202">
        <f>SUM(E93:E97)</f>
        <v>0</v>
      </c>
      <c r="F98" s="2201"/>
    </row>
    <row r="99" spans="1:7" ht="15.75" thickBot="1" x14ac:dyDescent="0.3">
      <c r="A99" s="2198"/>
      <c r="B99" s="2203" t="s">
        <v>1001</v>
      </c>
      <c r="C99" s="542">
        <f>IF(BGKGBbij119a="Ja",IF('Alimentatie 2023-02'!E222&gt;=C93,C93,C93-'Alimentatie 2023-02'!E222),0)</f>
        <v>0</v>
      </c>
      <c r="D99" s="2180" t="s">
        <v>72</v>
      </c>
      <c r="E99" s="2188">
        <f>IF(BGKGBbij119a="Ja",IF('Alimentatie 2023-02'!G222&gt;=E93,E93,E93-'Alimentatie 2023-02'!G222),0)</f>
        <v>0</v>
      </c>
      <c r="F99" s="2180" t="s">
        <v>72</v>
      </c>
      <c r="G99" s="2178" t="s">
        <v>72</v>
      </c>
    </row>
    <row r="100" spans="1:7" ht="15.75" thickBot="1" x14ac:dyDescent="0.3">
      <c r="A100" s="1411"/>
      <c r="B100" s="2181"/>
      <c r="C100" s="494">
        <f>C98-C99</f>
        <v>0</v>
      </c>
      <c r="D100" s="2148">
        <f>C100</f>
        <v>0</v>
      </c>
      <c r="E100" s="2189">
        <f>E98-E99</f>
        <v>0</v>
      </c>
      <c r="F100" s="494">
        <f>E100</f>
        <v>0</v>
      </c>
    </row>
    <row r="101" spans="1:7" x14ac:dyDescent="0.25">
      <c r="A101" s="2182">
        <f>'Alimentatie 2023-02'!A$279</f>
        <v>138</v>
      </c>
      <c r="B101" s="2184" t="str">
        <f>'Alimentatie 2023-02'!B$279</f>
        <v xml:space="preserve">Alimentatieverplichting (eerdere) ex-partner </v>
      </c>
      <c r="C101" s="2133"/>
      <c r="D101" s="491">
        <f>'Alimentatie 2023-02'!D330*12</f>
        <v>0</v>
      </c>
      <c r="E101" s="2133"/>
      <c r="F101" s="491">
        <f>'Alimentatie 2023-02'!F330*12</f>
        <v>0</v>
      </c>
    </row>
    <row r="102" spans="1:7" x14ac:dyDescent="0.25">
      <c r="A102" s="2183">
        <f>'Alimentatie 2023-02'!A$282</f>
        <v>138</v>
      </c>
      <c r="B102" s="2185" t="str">
        <f>'Alimentatie 2023-02'!B$282</f>
        <v>OEW: Hypotheekrente betaald voor ex. partner als partneralimentatie</v>
      </c>
      <c r="C102" s="2132"/>
      <c r="D102" s="1462">
        <f>IF(BGOEWRekenModule="Nee",0,BGOEW138RentePA_AP)</f>
        <v>0</v>
      </c>
      <c r="E102" s="2132"/>
      <c r="F102" s="1462">
        <f>IF(BGOEWRekenModule="Nee",0,BGOEW138RentePA_AG)</f>
        <v>0</v>
      </c>
    </row>
    <row r="103" spans="1:7" x14ac:dyDescent="0.25">
      <c r="A103" s="2183">
        <v>138</v>
      </c>
      <c r="B103" s="2185" t="str">
        <f>'Alimentatie 2023-02'!B$283</f>
        <v>OEW: Hypotheekaflossing betaald voor ex-partner als partneralimentatie</v>
      </c>
      <c r="C103" s="2132"/>
      <c r="D103" s="1462">
        <f>'Alimentatie 2023-02'!D283*12</f>
        <v>0</v>
      </c>
      <c r="E103" s="2132"/>
      <c r="F103" s="1462">
        <f>'Alimentatie 2023-02'!F283*12</f>
        <v>0</v>
      </c>
    </row>
    <row r="104" spans="1:7" ht="15.75" thickBot="1" x14ac:dyDescent="0.3">
      <c r="A104" s="2115"/>
      <c r="B104" s="1453" t="s">
        <v>1012</v>
      </c>
      <c r="C104" s="2186"/>
      <c r="D104" s="594">
        <f>J31</f>
        <v>0</v>
      </c>
      <c r="E104" s="2186"/>
      <c r="F104" s="2161"/>
    </row>
    <row r="105" spans="1:7" ht="15.75" thickBot="1" x14ac:dyDescent="0.3">
      <c r="A105" s="550"/>
      <c r="B105" s="838" t="s">
        <v>1000</v>
      </c>
      <c r="C105" s="488"/>
      <c r="D105" s="540">
        <f>SUM(D100:D104)</f>
        <v>0</v>
      </c>
      <c r="E105" s="2206"/>
      <c r="F105" s="540">
        <f>SUM(F100:F104)</f>
        <v>0</v>
      </c>
    </row>
    <row r="106" spans="1:7" ht="15.75" thickBot="1" x14ac:dyDescent="0.3">
      <c r="A106" s="2165"/>
      <c r="B106" s="2205"/>
      <c r="C106" s="2204"/>
      <c r="D106" s="2166"/>
      <c r="E106" s="2204"/>
      <c r="F106" s="2166"/>
    </row>
    <row r="107" spans="1:7" s="2207" customFormat="1" ht="18.75" x14ac:dyDescent="0.3">
      <c r="A107" s="2244"/>
      <c r="B107" s="2242"/>
      <c r="C107" s="2242" t="s">
        <v>1003</v>
      </c>
      <c r="D107" s="2236">
        <f ca="1">D90-D105</f>
        <v>0</v>
      </c>
      <c r="E107" s="2237"/>
      <c r="F107" s="2238">
        <f ca="1">F90-F105</f>
        <v>0</v>
      </c>
    </row>
    <row r="108" spans="1:7" ht="19.5" thickBot="1" x14ac:dyDescent="0.35">
      <c r="A108" s="2245"/>
      <c r="B108" s="2243"/>
      <c r="C108" s="2243" t="s">
        <v>1002</v>
      </c>
      <c r="D108" s="2239">
        <f ca="1">D107/12</f>
        <v>0</v>
      </c>
      <c r="E108" s="2240"/>
      <c r="F108" s="2241">
        <f ca="1">F107/12</f>
        <v>0</v>
      </c>
    </row>
  </sheetData>
  <sheetProtection algorithmName="SHA-512" hashValue="6t7z+NQUPSQw0UZ7uBWdWrRjcO0d/5P8QceCDfvynJObpC9etBcjRH/py9i+GWVgpLZbV5ID4+LwTTJUya6ykQ==" saltValue="SW/I9AzVA5c/IiupsTwgRg==" spinCount="100000" sheet="1" objects="1" scenarios="1"/>
  <protectedRanges>
    <protectedRange sqref="J31" name="H12 Alimentatie"/>
  </protectedRanges>
  <mergeCells count="18">
    <mergeCell ref="I3:J3"/>
    <mergeCell ref="C27:D27"/>
    <mergeCell ref="E27:F27"/>
    <mergeCell ref="C43:D43"/>
    <mergeCell ref="E43:F43"/>
    <mergeCell ref="C3:D3"/>
    <mergeCell ref="E3:F3"/>
    <mergeCell ref="C7:D7"/>
    <mergeCell ref="E7:F7"/>
    <mergeCell ref="H9:K12"/>
    <mergeCell ref="H24:J24"/>
    <mergeCell ref="L19:M31"/>
    <mergeCell ref="E92:F92"/>
    <mergeCell ref="C75:D75"/>
    <mergeCell ref="E75:F75"/>
    <mergeCell ref="C65:D65"/>
    <mergeCell ref="E65:F65"/>
    <mergeCell ref="C92:D92"/>
  </mergeCells>
  <conditionalFormatting sqref="D24">
    <cfRule type="expression" dxfId="10" priority="6">
      <formula>ROUND($D$24,0)&lt;&gt;ROUND($F$24,0)</formula>
    </cfRule>
  </conditionalFormatting>
  <conditionalFormatting sqref="F24:G24">
    <cfRule type="expression" dxfId="9" priority="3">
      <formula>ROUND($D$24,0)&lt;&gt;ROUND($F$24,0)</formula>
    </cfRule>
  </conditionalFormatting>
  <conditionalFormatting sqref="G24">
    <cfRule type="expression" dxfId="8" priority="2">
      <formula>ROUND($D$24,0)=ROUND($F$24,0)</formula>
    </cfRule>
  </conditionalFormatting>
  <conditionalFormatting sqref="H24">
    <cfRule type="cellIs" dxfId="7" priority="1" operator="equal">
      <formula>"LET OP: Het Correctiebedrag in Jusvergelijking (cel J30) klopt niet !!!"</formula>
    </cfRule>
    <cfRule type="cellIs" dxfId="6" priority="4" operator="equal">
      <formula>"Jusvergelijking is Oke!"</formula>
    </cfRule>
  </conditionalFormatting>
  <conditionalFormatting sqref="K33">
    <cfRule type="cellIs" dxfId="5" priority="10" operator="notBetween">
      <formula>-0.5</formula>
      <formula>0.5</formula>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3AB-5884-4821-8093-F760216A8028}">
  <sheetPr>
    <tabColor theme="7" tint="0.79998168889431442"/>
  </sheetPr>
  <dimension ref="A1:G46"/>
  <sheetViews>
    <sheetView showGridLines="0" zoomScale="80" zoomScaleNormal="80" workbookViewId="0">
      <pane xSplit="7" ySplit="3" topLeftCell="H4" activePane="bottomRight" state="frozen"/>
      <selection pane="topRight" activeCell="H1" sqref="H1"/>
      <selection pane="bottomLeft" activeCell="A4" sqref="A4"/>
      <selection pane="bottomRight"/>
    </sheetView>
  </sheetViews>
  <sheetFormatPr defaultColWidth="9.140625" defaultRowHeight="15" outlineLevelRow="1" x14ac:dyDescent="0.25"/>
  <cols>
    <col min="1" max="1" width="9.5703125" style="3" bestFit="1" customWidth="1"/>
    <col min="2" max="2" width="82.7109375" style="53" customWidth="1"/>
    <col min="3" max="3" width="3.85546875" style="3" bestFit="1" customWidth="1"/>
    <col min="4" max="5" width="20.7109375" style="156" customWidth="1"/>
    <col min="6" max="6" width="80.7109375" style="94" customWidth="1"/>
    <col min="7" max="7" width="9.140625" style="18"/>
    <col min="8" max="16384" width="9.140625" style="1"/>
  </cols>
  <sheetData>
    <row r="1" spans="1:7" ht="21.75" thickBot="1" x14ac:dyDescent="0.3">
      <c r="A1" s="1973"/>
      <c r="B1" s="2324" t="s">
        <v>912</v>
      </c>
      <c r="C1" s="1975"/>
      <c r="D1" s="934"/>
      <c r="E1" s="934"/>
      <c r="F1" s="2325"/>
      <c r="G1" s="2320">
        <v>1</v>
      </c>
    </row>
    <row r="2" spans="1:7" s="2316" customFormat="1" ht="15.75" customHeight="1" thickBot="1" x14ac:dyDescent="0.3">
      <c r="A2" s="2321"/>
      <c r="B2" s="2322"/>
      <c r="C2" s="2090"/>
      <c r="D2" s="1367"/>
      <c r="E2" s="1367"/>
      <c r="F2" s="2323"/>
      <c r="G2" s="2315">
        <v>2</v>
      </c>
    </row>
    <row r="3" spans="1:7" s="2316" customFormat="1" ht="15.75" customHeight="1" thickBot="1" x14ac:dyDescent="0.3">
      <c r="A3" s="2071" t="s">
        <v>821</v>
      </c>
      <c r="B3" s="393" t="s">
        <v>231</v>
      </c>
      <c r="C3" s="951" t="s">
        <v>214</v>
      </c>
      <c r="D3" s="949" t="str">
        <f>BGPartnerAP</f>
        <v>AP</v>
      </c>
      <c r="E3" s="949" t="str">
        <f>BGPartnerAG</f>
        <v>AG</v>
      </c>
      <c r="F3" s="1790" t="s">
        <v>213</v>
      </c>
      <c r="G3" s="2319" t="s">
        <v>820</v>
      </c>
    </row>
    <row r="4" spans="1:7" s="2316" customFormat="1" ht="15.75" customHeight="1" thickBot="1" x14ac:dyDescent="0.3">
      <c r="A4" s="2321"/>
      <c r="B4" s="2322"/>
      <c r="C4" s="2090"/>
      <c r="D4" s="1367"/>
      <c r="E4" s="1367"/>
      <c r="F4" s="2323"/>
      <c r="G4" s="2315">
        <v>4</v>
      </c>
    </row>
    <row r="5" spans="1:7" ht="19.5" outlineLevel="1" thickBot="1" x14ac:dyDescent="0.3">
      <c r="A5" s="1943">
        <v>123</v>
      </c>
      <c r="B5" s="1933" t="s">
        <v>42</v>
      </c>
      <c r="C5" s="1944"/>
      <c r="D5" s="1945"/>
      <c r="E5" s="1945"/>
      <c r="F5" s="2089"/>
      <c r="G5" s="2263">
        <v>5</v>
      </c>
    </row>
    <row r="6" spans="1:7" ht="45" outlineLevel="1" x14ac:dyDescent="0.25">
      <c r="A6" s="1484"/>
      <c r="B6" s="2088" t="s">
        <v>937</v>
      </c>
      <c r="C6" s="202" t="s">
        <v>77</v>
      </c>
      <c r="D6" s="925">
        <f>Basisgegevens!C240</f>
        <v>0</v>
      </c>
      <c r="E6" s="925">
        <f>Basisgegevens!D240</f>
        <v>0</v>
      </c>
      <c r="F6" s="1852" t="s">
        <v>238</v>
      </c>
      <c r="G6" s="70">
        <v>6</v>
      </c>
    </row>
    <row r="7" spans="1:7" outlineLevel="1" x14ac:dyDescent="0.25">
      <c r="A7" s="1485" t="s">
        <v>922</v>
      </c>
      <c r="B7" s="103" t="s">
        <v>950</v>
      </c>
      <c r="C7" s="200" t="s">
        <v>77</v>
      </c>
      <c r="D7" s="312">
        <f>IF(AND(BGOEWRekenModule="Ja",Basisgegevens!$E$193=BGPartnerAG),BGOEWWoonvergoeding,0)</f>
        <v>0</v>
      </c>
      <c r="E7" s="312">
        <f>IF(AND(BGOEWRekenModule="Ja",Basisgegevens!$E$193=BGPartnerAP),BGOEWWoonvergoeding,0)</f>
        <v>0</v>
      </c>
      <c r="F7" s="1827" t="s">
        <v>921</v>
      </c>
      <c r="G7" s="69">
        <v>7</v>
      </c>
    </row>
    <row r="8" spans="1:7" ht="15.75" outlineLevel="1" thickBot="1" x14ac:dyDescent="0.3">
      <c r="A8" s="1488"/>
      <c r="B8" s="1357" t="str">
        <f>IF(BGOEWRekenModule="Ja","- OEW: ","- ")&amp;"Hyptheekaflossing / premie levensverzekering"</f>
        <v>- Hyptheekaflossing / premie levensverzekering</v>
      </c>
      <c r="C8" s="208" t="s">
        <v>77</v>
      </c>
      <c r="D8" s="927">
        <f>IF(BGOEWRekenModule="Nee",Basisgegevens!E173+Basisgegevens!F186,IF(AND(BGOEWRekenModule="Ja",BGOEWAflossing=BGPartnerAP),Basisgegevens!C173/2+Basisgegevens!E186,IF(AND(BGOEWRekenModule="Ja",BGOEWAflossing=Keuzelijsten!$R$4),Basisgegevens!F186,0)))</f>
        <v>0</v>
      </c>
      <c r="E8" s="927">
        <f>IF(BGOEWRekenModule="Nee",Basisgegevens!F173+Basisgegevens!E186,IF(AND(BGOEWRekenModule="Ja",BGOEWAflossing=BGPartnerAG),Basisgegevens!C173/2+Basisgegevens!E186,IF(AND(BGOEWRekenModule="Ja",BGOEWAflossing=Keuzelijsten!$R$4),Basisgegevens!E186,0)))</f>
        <v>0</v>
      </c>
      <c r="F8" s="1836" t="s">
        <v>1021</v>
      </c>
      <c r="G8" s="174">
        <v>8</v>
      </c>
    </row>
    <row r="9" spans="1:7" outlineLevel="1" x14ac:dyDescent="0.25">
      <c r="A9" s="1593"/>
      <c r="B9" s="1351" t="s">
        <v>938</v>
      </c>
      <c r="C9" s="1352" t="s">
        <v>77</v>
      </c>
      <c r="D9" s="311">
        <f>IF(BG83HypRenteWoning1="Zie OEW",BG83HypRenteWoning2,BG83HypRenteWoning1+BG83HypRenteWoning2)</f>
        <v>0</v>
      </c>
      <c r="E9" s="311">
        <f>IF(BG83HypRente_W1_AG="Zie OEW",BG83HypotheekrenteW2_AG,BG83HypRente_W1_AG+BG83HypotheekrenteW2_AG)</f>
        <v>0</v>
      </c>
      <c r="F9" s="1853" t="s">
        <v>915</v>
      </c>
      <c r="G9" s="28">
        <v>9</v>
      </c>
    </row>
    <row r="10" spans="1:7" outlineLevel="1" x14ac:dyDescent="0.25">
      <c r="A10" s="84" t="str">
        <f>Basisgegevens!L188</f>
        <v>83a</v>
      </c>
      <c r="B10" s="1774" t="str">
        <f>"- OEW: "&amp;Basisgegevens!M188&amp;" (= het eigen 50% aandeel)"</f>
        <v>- OEW: Rente Onverdeeld Eigen Woning Eigen aandeel (= het eigen 50% aandeel)</v>
      </c>
      <c r="C10" s="1353" t="s">
        <v>77</v>
      </c>
      <c r="D10" s="312">
        <f>IF(BGOEWRekenModule="Ja",IF(Basisgegevens!P179="Blijver",BGOEW83aRente_AP/12,0),0)</f>
        <v>0</v>
      </c>
      <c r="E10" s="312">
        <f>IF(BGOEWRekenModule="Ja",IF(Basisgegevens!Q179="Blijver",BGOEW83aRente_AG/12,0),0)</f>
        <v>0</v>
      </c>
      <c r="F10" s="1827" t="s">
        <v>914</v>
      </c>
      <c r="G10" s="69">
        <v>10</v>
      </c>
    </row>
    <row r="11" spans="1:7" ht="15.75" outlineLevel="1" thickBot="1" x14ac:dyDescent="0.3">
      <c r="A11" s="158">
        <f>Basisgegevens!L191</f>
        <v>123</v>
      </c>
      <c r="B11" s="2337" t="str">
        <f>"- OEW: "&amp;Basisgegevens!M191&amp;" (= het 50% aandeel van de blijver)"</f>
        <v>- OEW: Rente Onverdeeld Eigen Woning (= het 50% aandeel van de blijver)</v>
      </c>
      <c r="C11" s="2299" t="s">
        <v>77</v>
      </c>
      <c r="D11" s="927">
        <f>IF(BGOEWRekenModule="Ja",BGOEW123Rente_AP/12,0)</f>
        <v>0</v>
      </c>
      <c r="E11" s="927">
        <f>IF(BGOEWRekenModule="Ja",BGOEW123Rente_AG/12,0)</f>
        <v>0</v>
      </c>
      <c r="F11" s="1836" t="s">
        <v>914</v>
      </c>
      <c r="G11" s="174">
        <v>11</v>
      </c>
    </row>
    <row r="12" spans="1:7" ht="31.5" customHeight="1" outlineLevel="1" thickBot="1" x14ac:dyDescent="0.3">
      <c r="A12" s="2499"/>
      <c r="B12" s="2500" t="s">
        <v>1033</v>
      </c>
      <c r="C12" s="1391"/>
      <c r="D12" s="1755" t="s">
        <v>110</v>
      </c>
      <c r="E12" s="1755" t="s">
        <v>110</v>
      </c>
      <c r="F12" s="2487" t="s">
        <v>1034</v>
      </c>
      <c r="G12" s="1253">
        <v>12</v>
      </c>
    </row>
    <row r="13" spans="1:7" outlineLevel="1" x14ac:dyDescent="0.25">
      <c r="A13" s="1593">
        <v>84</v>
      </c>
      <c r="B13" s="1351" t="str">
        <f>IF(BGOEWRekenModule="Ja","- OEW: ","- ")&amp;"Periodieke betalingen van erfpacht e.d."</f>
        <v>- Periodieke betalingen van erfpacht e.d.</v>
      </c>
      <c r="C13" s="1352" t="s">
        <v>77</v>
      </c>
      <c r="D13" s="935">
        <f>IF(BGOEWRekenModule="Nee",Basisgegevens!E177+Basisgegevens!F190,IF(AND(BGOEWRekenModule="Ja",BGOEWErfpacht=BGPartnerAP),Basisgegevens!C177++Basisgegevens!F190,IF(AND(BGOEWRekenModule="Ja",BGOEWErfpacht=Keuzelijsten!$R$4),(Basisgegevens!C177/2)+Basisgegevens!F190,0)))</f>
        <v>0</v>
      </c>
      <c r="E13" s="2511">
        <f>IF(BGOEWRekenModule="Nee",Basisgegevens!F177+Basisgegevens!E190,IF(AND(BGOEWRekenModule="Ja",BGOEWErfpacht=BGPartnerAG),Basisgegevens!C177+Basisgegevens!E190,IF(AND(BGOEWRekenModule="Ja",BGOEWErfpacht=Keuzelijsten!$R$4),(Basisgegevens!C177/2)+Basisgegevens!E190,0)))</f>
        <v>0</v>
      </c>
      <c r="F13" s="2514" t="s">
        <v>1118</v>
      </c>
      <c r="G13" s="28">
        <v>13</v>
      </c>
    </row>
    <row r="14" spans="1:7" outlineLevel="1" x14ac:dyDescent="0.25">
      <c r="A14" s="84"/>
      <c r="B14" s="103" t="s">
        <v>1099</v>
      </c>
      <c r="C14" s="1353" t="s">
        <v>77</v>
      </c>
      <c r="D14" s="2515">
        <v>0</v>
      </c>
      <c r="E14" s="2512">
        <v>0</v>
      </c>
      <c r="F14" s="1794" t="s">
        <v>1118</v>
      </c>
      <c r="G14" s="69">
        <v>14</v>
      </c>
    </row>
    <row r="15" spans="1:7" outlineLevel="1" x14ac:dyDescent="0.25">
      <c r="A15" s="84"/>
      <c r="B15" s="103" t="s">
        <v>1101</v>
      </c>
      <c r="C15" s="1353" t="s">
        <v>77</v>
      </c>
      <c r="D15" s="2515">
        <v>0</v>
      </c>
      <c r="E15" s="2512">
        <v>0</v>
      </c>
      <c r="F15" s="1794" t="s">
        <v>1100</v>
      </c>
      <c r="G15" s="69">
        <v>15</v>
      </c>
    </row>
    <row r="16" spans="1:7" outlineLevel="1" x14ac:dyDescent="0.25">
      <c r="A16" s="84"/>
      <c r="B16" s="103" t="s">
        <v>1113</v>
      </c>
      <c r="C16" s="1353" t="s">
        <v>77</v>
      </c>
      <c r="D16" s="2515">
        <v>0</v>
      </c>
      <c r="E16" s="2512">
        <v>0</v>
      </c>
      <c r="F16" s="1794" t="s">
        <v>1100</v>
      </c>
      <c r="G16" s="69">
        <v>16</v>
      </c>
    </row>
    <row r="17" spans="1:7" outlineLevel="1" x14ac:dyDescent="0.25">
      <c r="A17" s="158"/>
      <c r="B17" s="1357" t="s">
        <v>1102</v>
      </c>
      <c r="C17" s="1353" t="s">
        <v>77</v>
      </c>
      <c r="D17" s="2515">
        <v>0</v>
      </c>
      <c r="E17" s="2512">
        <v>0</v>
      </c>
      <c r="F17" s="1794" t="s">
        <v>1114</v>
      </c>
      <c r="G17" s="174">
        <v>17</v>
      </c>
    </row>
    <row r="18" spans="1:7" ht="15.75" outlineLevel="1" thickBot="1" x14ac:dyDescent="0.3">
      <c r="A18" s="85"/>
      <c r="B18" s="1041" t="s">
        <v>1115</v>
      </c>
      <c r="C18" s="1416" t="s">
        <v>77</v>
      </c>
      <c r="D18" s="347">
        <v>0</v>
      </c>
      <c r="E18" s="2513">
        <v>0</v>
      </c>
      <c r="F18" s="1797" t="s">
        <v>1116</v>
      </c>
      <c r="G18" s="30">
        <v>18</v>
      </c>
    </row>
    <row r="19" spans="1:7" outlineLevel="1" x14ac:dyDescent="0.25">
      <c r="A19" s="1484" t="s">
        <v>944</v>
      </c>
      <c r="B19" s="1292" t="s">
        <v>57</v>
      </c>
      <c r="C19" s="202" t="s">
        <v>72</v>
      </c>
      <c r="D19" s="925">
        <f>Basisgegevens!C242</f>
        <v>0</v>
      </c>
      <c r="E19" s="925">
        <f>Basisgegevens!D242</f>
        <v>0</v>
      </c>
      <c r="F19" s="1852" t="s">
        <v>239</v>
      </c>
      <c r="G19" s="70">
        <v>19</v>
      </c>
    </row>
    <row r="20" spans="1:7" ht="15.75" outlineLevel="1" thickBot="1" x14ac:dyDescent="0.3">
      <c r="A20" s="1488" t="s">
        <v>944</v>
      </c>
      <c r="B20" s="1357" t="s">
        <v>1025</v>
      </c>
      <c r="C20" s="208" t="s">
        <v>72</v>
      </c>
      <c r="D20" s="927">
        <f>IF(D12="Ja",0,'Alimentatie 2023-02'!D139+IF(BGOEWRekenModule="Ja",D11*BGBelastingTariefSchijf1,0))</f>
        <v>0</v>
      </c>
      <c r="E20" s="927">
        <f>IF(E12="Ja",0,'Alimentatie 2023-02'!F139+IF(BGOEWRekenModule="Ja",E11*BGBelastingTariefSchijf1,0))</f>
        <v>0</v>
      </c>
      <c r="F20" s="1836" t="s">
        <v>1094</v>
      </c>
      <c r="G20" s="174">
        <v>20</v>
      </c>
    </row>
    <row r="21" spans="1:7" ht="15.75" outlineLevel="1" thickBot="1" x14ac:dyDescent="0.3">
      <c r="A21" s="2084"/>
      <c r="B21" s="2085" t="s">
        <v>943</v>
      </c>
      <c r="C21" s="1850"/>
      <c r="D21" s="1732">
        <f>SUM(D6:D18)-SUM(D19:D20)</f>
        <v>0</v>
      </c>
      <c r="E21" s="1732">
        <f>SUM(E6:E18)-SUM(E19:E20)</f>
        <v>0</v>
      </c>
      <c r="F21" s="2086"/>
      <c r="G21" s="2093">
        <v>21</v>
      </c>
    </row>
    <row r="22" spans="1:7" ht="15.75" outlineLevel="1" thickBot="1" x14ac:dyDescent="0.3">
      <c r="A22" s="1896"/>
      <c r="B22" s="2469"/>
      <c r="C22" s="1914"/>
      <c r="D22" s="1972"/>
      <c r="E22" s="1972"/>
      <c r="F22" s="2470"/>
      <c r="G22" s="2278">
        <v>22</v>
      </c>
    </row>
    <row r="23" spans="1:7" ht="30.75" outlineLevel="1" thickBot="1" x14ac:dyDescent="0.3">
      <c r="A23" s="1574" t="s">
        <v>944</v>
      </c>
      <c r="B23" s="2338" t="s">
        <v>959</v>
      </c>
      <c r="C23" s="1998" t="s">
        <v>72</v>
      </c>
      <c r="D23" s="2509">
        <v>0</v>
      </c>
      <c r="E23" s="959">
        <v>0</v>
      </c>
      <c r="F23" s="2510" t="s">
        <v>858</v>
      </c>
      <c r="G23" s="169">
        <v>23</v>
      </c>
    </row>
    <row r="24" spans="1:7" ht="15.75" thickBot="1" x14ac:dyDescent="0.3">
      <c r="A24" s="2380">
        <v>123</v>
      </c>
      <c r="B24" s="2474" t="s">
        <v>59</v>
      </c>
      <c r="C24" s="2284"/>
      <c r="D24" s="1301">
        <f>D21-D23</f>
        <v>0</v>
      </c>
      <c r="E24" s="924">
        <f>E21-E23</f>
        <v>0</v>
      </c>
      <c r="F24" s="2097"/>
      <c r="G24" s="601">
        <v>24</v>
      </c>
    </row>
    <row r="25" spans="1:7" ht="15.75" outlineLevel="1" thickBot="1" x14ac:dyDescent="0.3">
      <c r="B25" s="337"/>
      <c r="C25" s="2090"/>
      <c r="G25" s="70">
        <v>25</v>
      </c>
    </row>
    <row r="26" spans="1:7" ht="15.75" outlineLevel="1" thickBot="1" x14ac:dyDescent="0.3">
      <c r="B26" s="2091" t="s">
        <v>407</v>
      </c>
      <c r="D26" s="2087" t="str">
        <f>BGPartnerAP</f>
        <v>AP</v>
      </c>
      <c r="E26" s="2087" t="str">
        <f>BGPartnerAG</f>
        <v>AG</v>
      </c>
      <c r="G26" s="30">
        <v>26</v>
      </c>
    </row>
    <row r="27" spans="1:7" outlineLevel="1" x14ac:dyDescent="0.25">
      <c r="A27" s="1593"/>
      <c r="B27" s="1734" t="s">
        <v>406</v>
      </c>
      <c r="C27" s="212"/>
      <c r="D27" s="311">
        <f ca="1">'Alimentatie 2023-02'!E246</f>
        <v>0</v>
      </c>
      <c r="E27" s="311">
        <f ca="1">'Alimentatie 2023-02'!G246</f>
        <v>0</v>
      </c>
      <c r="F27" s="2092"/>
      <c r="G27" s="28">
        <v>27</v>
      </c>
    </row>
    <row r="28" spans="1:7" outlineLevel="1" x14ac:dyDescent="0.25">
      <c r="A28" s="84"/>
      <c r="B28" s="326" t="s">
        <v>404</v>
      </c>
      <c r="C28" s="209"/>
      <c r="D28" s="312">
        <f>IF(Basisgegevens!F201*Basisgegevens!O16&gt;0,(Basisgegevens!F201*Basisgegevens!O16)+D6-D19+SUM(D9:D15)+'Alimentatie 2023-02'!D139,D6-D19+SUM(D9:D15)+'Alimentatie 2023-02'!D139)</f>
        <v>0</v>
      </c>
      <c r="E28" s="312">
        <f>IF(Basisgegevens!E200&gt;0,(Basisgegevens!E200*Basisgegevens!O16)+(E6-E19)+SUM(E9:E15)+'Alimentatie 2023-02'!F139,(E6-E19)+SUM(E9:E15)+'Alimentatie 2023-02'!F139)</f>
        <v>0</v>
      </c>
      <c r="F28" s="387"/>
      <c r="G28" s="69">
        <v>28</v>
      </c>
    </row>
    <row r="29" spans="1:7" outlineLevel="1" x14ac:dyDescent="0.25">
      <c r="A29" s="84"/>
      <c r="B29" s="326" t="s">
        <v>405</v>
      </c>
      <c r="C29" s="209"/>
      <c r="D29" s="312">
        <f ca="1">D27/3</f>
        <v>0</v>
      </c>
      <c r="E29" s="312">
        <f ca="1">E27/3</f>
        <v>0</v>
      </c>
      <c r="F29" s="387"/>
      <c r="G29" s="69">
        <v>29</v>
      </c>
    </row>
    <row r="30" spans="1:7" ht="15.75" outlineLevel="1" thickBot="1" x14ac:dyDescent="0.3">
      <c r="A30" s="85"/>
      <c r="B30" s="1735" t="s">
        <v>408</v>
      </c>
      <c r="C30" s="1736"/>
      <c r="D30" s="314">
        <f ca="1">D29-D28</f>
        <v>0</v>
      </c>
      <c r="E30" s="314">
        <f ca="1">E29-E28</f>
        <v>0</v>
      </c>
      <c r="F30" s="390"/>
      <c r="G30" s="30">
        <v>30</v>
      </c>
    </row>
    <row r="31" spans="1:7" ht="30.75" outlineLevel="1" thickBot="1" x14ac:dyDescent="0.3">
      <c r="A31" s="2473"/>
      <c r="B31" s="1319" t="s">
        <v>409</v>
      </c>
      <c r="C31" s="413"/>
      <c r="D31" s="1733" t="str">
        <f ca="1">IF(D30&lt;0.01,CONCATENATE("Woonlast is € ",ROUND(D30*-1,0)," te hoog, Onredelijk?"),CONCATENATE("Woonlast is €",ROUND(D30,0)," onder max."))</f>
        <v>Woonlast is € 0 te hoog, Onredelijk?</v>
      </c>
      <c r="E31" s="1775" t="str">
        <f ca="1">IF(E30&lt;0.01,"Woonlast is € "&amp;ROUND(E30*-1,0)&amp;" te hoog, Onredelijk?","Woonlast is €"&amp;ROUND(E30,0)&amp;" onder max.")</f>
        <v>Woonlast is € 0 te hoog, Onredelijk?</v>
      </c>
      <c r="F31" s="1866" t="s">
        <v>945</v>
      </c>
      <c r="G31" s="2094">
        <v>31</v>
      </c>
    </row>
    <row r="32" spans="1:7" ht="15.75" thickBot="1" x14ac:dyDescent="0.3">
      <c r="B32" s="337"/>
      <c r="C32" s="1080"/>
      <c r="D32" s="2471" t="s">
        <v>761</v>
      </c>
      <c r="E32" s="2471"/>
      <c r="F32" s="2472"/>
      <c r="G32" s="2072">
        <v>32</v>
      </c>
    </row>
    <row r="33" spans="1:7" s="105" customFormat="1" ht="19.5" thickBot="1" x14ac:dyDescent="0.3">
      <c r="A33" s="2103"/>
      <c r="B33" s="2104" t="s">
        <v>982</v>
      </c>
      <c r="C33" s="2105"/>
      <c r="D33" s="2106"/>
      <c r="E33" s="2106"/>
      <c r="F33" s="2104"/>
      <c r="G33" s="2107">
        <v>33</v>
      </c>
    </row>
    <row r="34" spans="1:7" ht="30" outlineLevel="1" x14ac:dyDescent="0.25">
      <c r="A34" s="95">
        <v>125</v>
      </c>
      <c r="B34" s="89" t="s">
        <v>966</v>
      </c>
      <c r="C34" s="1728" t="s">
        <v>77</v>
      </c>
      <c r="D34" s="925">
        <v>0</v>
      </c>
      <c r="E34" s="925">
        <v>0</v>
      </c>
      <c r="F34" s="2101" t="s">
        <v>967</v>
      </c>
      <c r="G34" s="70">
        <v>34</v>
      </c>
    </row>
    <row r="35" spans="1:7" outlineLevel="1" x14ac:dyDescent="0.25">
      <c r="A35" s="84">
        <v>125</v>
      </c>
      <c r="B35" s="1783" t="s">
        <v>465</v>
      </c>
      <c r="C35" s="1353"/>
      <c r="D35" s="313">
        <v>0</v>
      </c>
      <c r="E35" s="313">
        <v>0</v>
      </c>
      <c r="F35" s="1235"/>
      <c r="G35" s="69">
        <v>35</v>
      </c>
    </row>
    <row r="36" spans="1:7" ht="30" outlineLevel="1" x14ac:dyDescent="0.25">
      <c r="A36" s="84">
        <v>126</v>
      </c>
      <c r="B36" s="1783" t="s">
        <v>44</v>
      </c>
      <c r="C36" s="1353" t="s">
        <v>77</v>
      </c>
      <c r="D36" s="313">
        <v>0</v>
      </c>
      <c r="E36" s="313">
        <v>0</v>
      </c>
      <c r="F36" s="1235" t="s">
        <v>240</v>
      </c>
      <c r="G36" s="69">
        <v>36</v>
      </c>
    </row>
    <row r="37" spans="1:7" outlineLevel="1" x14ac:dyDescent="0.25">
      <c r="A37" s="1856">
        <v>127</v>
      </c>
      <c r="B37" s="1864" t="s">
        <v>45</v>
      </c>
      <c r="C37" s="1353" t="s">
        <v>77</v>
      </c>
      <c r="D37" s="931">
        <v>0</v>
      </c>
      <c r="E37" s="931">
        <v>0</v>
      </c>
      <c r="F37" s="1288" t="s">
        <v>230</v>
      </c>
      <c r="G37" s="2095">
        <v>37</v>
      </c>
    </row>
    <row r="38" spans="1:7" outlineLevel="1" x14ac:dyDescent="0.25">
      <c r="A38" s="84">
        <v>128</v>
      </c>
      <c r="B38" s="1783" t="s">
        <v>46</v>
      </c>
      <c r="C38" s="1353" t="s">
        <v>77</v>
      </c>
      <c r="D38" s="313">
        <v>0</v>
      </c>
      <c r="E38" s="313">
        <v>0</v>
      </c>
      <c r="F38" s="1861" t="s">
        <v>244</v>
      </c>
      <c r="G38" s="69">
        <v>38</v>
      </c>
    </row>
    <row r="39" spans="1:7" ht="30" outlineLevel="1" x14ac:dyDescent="0.25">
      <c r="A39" s="84">
        <v>129</v>
      </c>
      <c r="B39" s="1783" t="s">
        <v>47</v>
      </c>
      <c r="C39" s="1353" t="s">
        <v>77</v>
      </c>
      <c r="D39" s="313">
        <v>0</v>
      </c>
      <c r="E39" s="313">
        <v>0</v>
      </c>
      <c r="F39" s="1235" t="s">
        <v>241</v>
      </c>
      <c r="G39" s="69">
        <v>39</v>
      </c>
    </row>
    <row r="40" spans="1:7" ht="30" outlineLevel="1" x14ac:dyDescent="0.25">
      <c r="A40" s="84">
        <v>130</v>
      </c>
      <c r="B40" s="1783" t="s">
        <v>48</v>
      </c>
      <c r="C40" s="1353" t="s">
        <v>77</v>
      </c>
      <c r="D40" s="313">
        <v>0</v>
      </c>
      <c r="E40" s="313">
        <v>0</v>
      </c>
      <c r="F40" s="1235" t="s">
        <v>1020</v>
      </c>
      <c r="G40" s="69">
        <v>40</v>
      </c>
    </row>
    <row r="41" spans="1:7" ht="30" outlineLevel="1" x14ac:dyDescent="0.25">
      <c r="A41" s="1857">
        <v>131</v>
      </c>
      <c r="B41" s="1864" t="s">
        <v>916</v>
      </c>
      <c r="C41" s="1860" t="s">
        <v>77</v>
      </c>
      <c r="D41" s="1329">
        <v>0</v>
      </c>
      <c r="E41" s="1329">
        <v>0</v>
      </c>
      <c r="F41" s="1288" t="s">
        <v>681</v>
      </c>
      <c r="G41" s="2096">
        <v>41</v>
      </c>
    </row>
    <row r="42" spans="1:7" ht="45" outlineLevel="1" x14ac:dyDescent="0.25">
      <c r="A42" s="84">
        <v>132</v>
      </c>
      <c r="B42" s="1783" t="s">
        <v>49</v>
      </c>
      <c r="C42" s="1353" t="s">
        <v>77</v>
      </c>
      <c r="D42" s="313">
        <v>0</v>
      </c>
      <c r="E42" s="313">
        <v>0</v>
      </c>
      <c r="F42" s="1235" t="s">
        <v>242</v>
      </c>
      <c r="G42" s="69">
        <v>42</v>
      </c>
    </row>
    <row r="43" spans="1:7" ht="75.75" outlineLevel="1" thickBot="1" x14ac:dyDescent="0.3">
      <c r="A43" s="84">
        <v>133</v>
      </c>
      <c r="B43" s="1783" t="s">
        <v>50</v>
      </c>
      <c r="C43" s="1353" t="s">
        <v>77</v>
      </c>
      <c r="D43" s="313">
        <v>0</v>
      </c>
      <c r="E43" s="313">
        <v>0</v>
      </c>
      <c r="F43" s="1235" t="s">
        <v>243</v>
      </c>
      <c r="G43" s="69">
        <v>43</v>
      </c>
    </row>
    <row r="44" spans="1:7" ht="15.75" outlineLevel="1" thickBot="1" x14ac:dyDescent="0.3">
      <c r="A44" s="2108"/>
      <c r="B44" s="2098" t="s">
        <v>983</v>
      </c>
      <c r="C44" s="2099"/>
      <c r="D44" s="1859">
        <f>SUM(D34:D43)</f>
        <v>0</v>
      </c>
      <c r="E44" s="1859">
        <f>SUM(E34:E43)</f>
        <v>0</v>
      </c>
      <c r="F44" s="2100"/>
      <c r="G44" s="1849">
        <v>44</v>
      </c>
    </row>
    <row r="45" spans="1:7" ht="15.75" outlineLevel="1" thickBot="1" x14ac:dyDescent="0.3">
      <c r="A45" s="1959"/>
      <c r="B45" s="2112"/>
      <c r="C45" s="2113"/>
      <c r="D45" s="1961"/>
      <c r="E45" s="1961"/>
      <c r="F45" s="2114"/>
      <c r="G45" s="2072">
        <v>45</v>
      </c>
    </row>
    <row r="46" spans="1:7" ht="16.5" thickBot="1" x14ac:dyDescent="0.3">
      <c r="A46" s="1854"/>
      <c r="B46" s="2109" t="s">
        <v>960</v>
      </c>
      <c r="C46" s="2110" t="s">
        <v>72</v>
      </c>
      <c r="D46" s="1855">
        <f>D24+D44</f>
        <v>0</v>
      </c>
      <c r="E46" s="1855">
        <f>E24+E44</f>
        <v>0</v>
      </c>
      <c r="F46" s="2111"/>
      <c r="G46" s="601">
        <v>46</v>
      </c>
    </row>
  </sheetData>
  <sheetProtection algorithmName="SHA-512" hashValue="mCVDjmczlu3+fcN6MLaXG/cgZXFLYs4sX7i52/fPPyXSSFux5q8T5NBFb/sieAQ2TShaJ7OMcerPB6X062n1UA==" saltValue="3FTftgnRxZBQjyHCJDWkiQ==" spinCount="100000" sheet="1" objects="1" scenarios="1"/>
  <protectedRanges>
    <protectedRange sqref="D23:E23" name="Regel_22_Onredelijke_Woonlast"/>
    <protectedRange sqref="D12:E12" name="Regel 12 Aflossingsvrije hypotheek"/>
    <protectedRange sqref="D14:E18" name="Regel_14_17_Woninglasten"/>
    <protectedRange sqref="D35:E36 D38:E40 D42:E43" name="Regel_45_tm_53"/>
  </protectedRanges>
  <conditionalFormatting sqref="C1:C2 C4:C31 C33:C46">
    <cfRule type="cellIs" dxfId="4" priority="32" operator="equal">
      <formula>"-"</formula>
    </cfRule>
    <cfRule type="cellIs" dxfId="3" priority="33" operator="equal">
      <formula>"+"</formula>
    </cfRule>
  </conditionalFormatting>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5F34A9-53D7-4E7E-B6D6-FE6A11A068A2}">
          <x14:formula1>
            <xm:f>Keuzelijsten!$G$2:$G$3</xm:f>
          </x14:formula1>
          <xm:sqref>D12:E12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I33"/>
  <sheetViews>
    <sheetView showGridLines="0"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 width="16.7109375" style="286" customWidth="1"/>
    <col min="2" max="2" width="105.7109375" customWidth="1"/>
    <col min="3" max="3" width="8.7109375" style="286" bestFit="1" customWidth="1"/>
    <col min="4" max="4" width="3.7109375" customWidth="1"/>
    <col min="5" max="5" width="16.7109375" style="286" customWidth="1"/>
    <col min="6" max="6" width="5.5703125" style="286" customWidth="1"/>
    <col min="7" max="7" width="70.7109375" customWidth="1"/>
    <col min="8" max="8" width="16.7109375" style="286" customWidth="1"/>
    <col min="9" max="9" width="42.85546875" customWidth="1"/>
  </cols>
  <sheetData>
    <row r="1" spans="1:9" ht="21.75" thickBot="1" x14ac:dyDescent="0.4">
      <c r="A1" s="292"/>
      <c r="B1" s="2306" t="s">
        <v>366</v>
      </c>
      <c r="C1" s="293"/>
      <c r="E1" s="294"/>
      <c r="F1" s="432"/>
      <c r="G1" s="432" t="s">
        <v>365</v>
      </c>
      <c r="H1" s="290"/>
      <c r="I1" s="291"/>
    </row>
    <row r="2" spans="1:9" ht="15.75" thickBot="1" x14ac:dyDescent="0.3">
      <c r="I2" s="687"/>
    </row>
    <row r="3" spans="1:9" ht="15.75" thickBot="1" x14ac:dyDescent="0.3">
      <c r="A3" s="287" t="s">
        <v>363</v>
      </c>
      <c r="B3" s="442" t="s">
        <v>74</v>
      </c>
      <c r="C3" s="431" t="s">
        <v>367</v>
      </c>
      <c r="E3" s="287" t="s">
        <v>363</v>
      </c>
      <c r="F3" s="433" t="s">
        <v>449</v>
      </c>
      <c r="G3" s="252" t="s">
        <v>74</v>
      </c>
      <c r="H3" s="287" t="s">
        <v>364</v>
      </c>
      <c r="I3" s="254" t="s">
        <v>215</v>
      </c>
    </row>
    <row r="4" spans="1:9" x14ac:dyDescent="0.25">
      <c r="A4" s="430">
        <v>45127</v>
      </c>
      <c r="B4" s="443" t="s">
        <v>1112</v>
      </c>
      <c r="C4" s="446" t="s">
        <v>631</v>
      </c>
      <c r="E4" s="288"/>
      <c r="F4" s="434"/>
      <c r="G4" s="590"/>
      <c r="H4" s="589"/>
      <c r="I4" s="591"/>
    </row>
    <row r="5" spans="1:9" x14ac:dyDescent="0.25">
      <c r="A5" s="288">
        <v>45149</v>
      </c>
      <c r="B5" s="444" t="s">
        <v>1127</v>
      </c>
      <c r="C5" s="447" t="s">
        <v>1128</v>
      </c>
      <c r="E5" s="288"/>
      <c r="F5" s="434"/>
      <c r="G5" s="590"/>
      <c r="H5" s="589"/>
      <c r="I5" s="591"/>
    </row>
    <row r="6" spans="1:9" x14ac:dyDescent="0.25">
      <c r="A6" s="288">
        <v>45149</v>
      </c>
      <c r="B6" s="444" t="s">
        <v>1129</v>
      </c>
      <c r="C6" s="447" t="s">
        <v>1128</v>
      </c>
      <c r="E6" s="288"/>
      <c r="F6" s="434"/>
      <c r="G6" s="590"/>
      <c r="H6" s="589"/>
      <c r="I6" s="441"/>
    </row>
    <row r="7" spans="1:9" x14ac:dyDescent="0.25">
      <c r="A7" s="288">
        <v>45295</v>
      </c>
      <c r="B7" s="444" t="s">
        <v>1144</v>
      </c>
      <c r="C7" s="447" t="s">
        <v>1145</v>
      </c>
      <c r="E7" s="288"/>
      <c r="F7" s="434"/>
      <c r="G7" s="590"/>
      <c r="H7" s="589"/>
      <c r="I7" s="591"/>
    </row>
    <row r="8" spans="1:9" x14ac:dyDescent="0.25">
      <c r="A8" s="288">
        <v>45659</v>
      </c>
      <c r="B8" s="444" t="s">
        <v>1148</v>
      </c>
      <c r="C8" s="447" t="s">
        <v>1147</v>
      </c>
      <c r="E8" s="288"/>
      <c r="F8" s="434"/>
      <c r="G8" s="284"/>
      <c r="H8" s="288"/>
      <c r="I8" s="441"/>
    </row>
    <row r="9" spans="1:9" x14ac:dyDescent="0.25">
      <c r="A9" s="288"/>
      <c r="B9" s="444"/>
      <c r="C9" s="447"/>
      <c r="E9" s="288"/>
      <c r="F9" s="434"/>
      <c r="G9" s="590"/>
      <c r="H9" s="589"/>
      <c r="I9" s="591"/>
    </row>
    <row r="10" spans="1:9" x14ac:dyDescent="0.25">
      <c r="A10" s="288"/>
      <c r="B10" s="444"/>
      <c r="C10" s="447"/>
      <c r="E10" s="288"/>
      <c r="F10" s="434"/>
      <c r="G10" s="590"/>
      <c r="H10" s="589"/>
      <c r="I10" s="591"/>
    </row>
    <row r="11" spans="1:9" x14ac:dyDescent="0.25">
      <c r="A11" s="288"/>
      <c r="B11" s="444"/>
      <c r="C11" s="447"/>
      <c r="E11" s="288"/>
      <c r="F11" s="434"/>
      <c r="G11" s="284"/>
      <c r="H11" s="288"/>
      <c r="I11" s="441"/>
    </row>
    <row r="12" spans="1:9" x14ac:dyDescent="0.25">
      <c r="A12" s="288"/>
      <c r="B12" s="444"/>
      <c r="C12" s="447"/>
      <c r="E12" s="288"/>
      <c r="F12" s="434"/>
      <c r="G12" s="284"/>
      <c r="H12" s="288"/>
      <c r="I12" s="441"/>
    </row>
    <row r="13" spans="1:9" x14ac:dyDescent="0.25">
      <c r="A13" s="288"/>
      <c r="B13" s="444"/>
      <c r="C13" s="447"/>
      <c r="E13" s="288"/>
      <c r="F13" s="434"/>
      <c r="G13" s="284"/>
      <c r="H13" s="288"/>
      <c r="I13" s="441"/>
    </row>
    <row r="14" spans="1:9" x14ac:dyDescent="0.25">
      <c r="A14" s="288"/>
      <c r="B14" s="444"/>
      <c r="C14" s="447"/>
      <c r="E14" s="288"/>
      <c r="F14" s="434"/>
      <c r="G14" s="284"/>
      <c r="H14" s="288"/>
      <c r="I14" s="441"/>
    </row>
    <row r="15" spans="1:9" x14ac:dyDescent="0.25">
      <c r="A15" s="288"/>
      <c r="B15" s="444"/>
      <c r="C15" s="447"/>
      <c r="E15" s="288"/>
      <c r="F15" s="434"/>
      <c r="G15" s="284"/>
      <c r="H15" s="288"/>
      <c r="I15" s="441"/>
    </row>
    <row r="16" spans="1:9" x14ac:dyDescent="0.25">
      <c r="A16" s="288"/>
      <c r="B16" s="444"/>
      <c r="C16" s="447"/>
      <c r="E16" s="288"/>
      <c r="F16" s="434"/>
      <c r="G16" s="284"/>
      <c r="H16" s="288"/>
      <c r="I16" s="441"/>
    </row>
    <row r="17" spans="1:9" x14ac:dyDescent="0.25">
      <c r="A17" s="288"/>
      <c r="B17" s="444"/>
      <c r="C17" s="447"/>
      <c r="E17" s="288"/>
      <c r="F17" s="434"/>
      <c r="G17" s="284"/>
      <c r="H17" s="288"/>
      <c r="I17" s="441"/>
    </row>
    <row r="18" spans="1:9" x14ac:dyDescent="0.25">
      <c r="A18" s="288"/>
      <c r="B18" s="444"/>
      <c r="C18" s="447"/>
      <c r="E18" s="288"/>
      <c r="F18" s="434"/>
      <c r="G18" s="284"/>
      <c r="H18" s="288"/>
      <c r="I18" s="441"/>
    </row>
    <row r="19" spans="1:9" x14ac:dyDescent="0.25">
      <c r="A19" s="288"/>
      <c r="B19" s="444"/>
      <c r="C19" s="447"/>
      <c r="E19" s="288"/>
      <c r="F19" s="434"/>
      <c r="G19" s="284"/>
      <c r="H19" s="288"/>
      <c r="I19" s="441"/>
    </row>
    <row r="20" spans="1:9" x14ac:dyDescent="0.25">
      <c r="A20" s="288"/>
      <c r="B20" s="444"/>
      <c r="C20" s="447"/>
      <c r="E20" s="288"/>
      <c r="F20" s="434"/>
      <c r="G20" s="284"/>
      <c r="H20" s="288"/>
      <c r="I20" s="441"/>
    </row>
    <row r="21" spans="1:9" x14ac:dyDescent="0.25">
      <c r="A21" s="288"/>
      <c r="B21" s="444"/>
      <c r="C21" s="447"/>
      <c r="E21" s="288"/>
      <c r="F21" s="434"/>
      <c r="G21" s="284"/>
      <c r="H21" s="288"/>
      <c r="I21" s="441"/>
    </row>
    <row r="22" spans="1:9" x14ac:dyDescent="0.25">
      <c r="A22" s="288"/>
      <c r="B22" s="444"/>
      <c r="C22" s="447"/>
      <c r="E22" s="288"/>
      <c r="F22" s="434"/>
      <c r="G22" s="284"/>
      <c r="H22" s="288"/>
      <c r="I22" s="441"/>
    </row>
    <row r="23" spans="1:9" x14ac:dyDescent="0.25">
      <c r="A23" s="288"/>
      <c r="B23" s="444"/>
      <c r="C23" s="447"/>
      <c r="E23" s="288"/>
      <c r="F23" s="434"/>
      <c r="G23" s="284"/>
      <c r="H23" s="288"/>
      <c r="I23" s="441"/>
    </row>
    <row r="24" spans="1:9" x14ac:dyDescent="0.25">
      <c r="A24" s="288"/>
      <c r="B24" s="444"/>
      <c r="C24" s="447"/>
      <c r="E24" s="288"/>
      <c r="F24" s="434"/>
      <c r="G24" s="284"/>
      <c r="H24" s="288"/>
      <c r="I24" s="441"/>
    </row>
    <row r="25" spans="1:9" x14ac:dyDescent="0.25">
      <c r="A25" s="288"/>
      <c r="B25" s="444"/>
      <c r="C25" s="447"/>
      <c r="E25" s="288"/>
      <c r="F25" s="434"/>
      <c r="G25" s="284"/>
      <c r="H25" s="288"/>
      <c r="I25" s="441"/>
    </row>
    <row r="26" spans="1:9" x14ac:dyDescent="0.25">
      <c r="A26" s="288"/>
      <c r="B26" s="444"/>
      <c r="C26" s="447"/>
      <c r="E26" s="288"/>
      <c r="F26" s="434"/>
      <c r="G26" s="284"/>
      <c r="H26" s="288"/>
      <c r="I26" s="441"/>
    </row>
    <row r="27" spans="1:9" x14ac:dyDescent="0.25">
      <c r="A27" s="2461"/>
      <c r="B27" s="2462"/>
      <c r="C27" s="2463"/>
      <c r="E27" s="2461"/>
      <c r="F27" s="2464"/>
      <c r="G27" s="2465"/>
      <c r="H27" s="2461"/>
      <c r="I27" s="1707"/>
    </row>
    <row r="28" spans="1:9" x14ac:dyDescent="0.25">
      <c r="A28" s="2461"/>
      <c r="B28" s="2462"/>
      <c r="C28" s="2463"/>
      <c r="E28" s="2461"/>
      <c r="F28" s="2464"/>
      <c r="G28" s="2465"/>
      <c r="H28" s="2461"/>
      <c r="I28" s="1707"/>
    </row>
    <row r="29" spans="1:9" x14ac:dyDescent="0.25">
      <c r="A29" s="2461"/>
      <c r="B29" s="2462"/>
      <c r="C29" s="2463"/>
      <c r="E29" s="2461"/>
      <c r="F29" s="2464"/>
      <c r="G29" s="2465"/>
      <c r="H29" s="2461"/>
      <c r="I29" s="1707"/>
    </row>
    <row r="30" spans="1:9" x14ac:dyDescent="0.25">
      <c r="A30" s="2461"/>
      <c r="B30" s="2462"/>
      <c r="C30" s="2463"/>
      <c r="E30" s="2461"/>
      <c r="F30" s="2464"/>
      <c r="G30" s="2465"/>
      <c r="H30" s="2461"/>
      <c r="I30" s="1707"/>
    </row>
    <row r="31" spans="1:9" x14ac:dyDescent="0.25">
      <c r="A31" s="2461"/>
      <c r="B31" s="2462"/>
      <c r="C31" s="2463"/>
      <c r="E31" s="2461"/>
      <c r="F31" s="2464"/>
      <c r="G31" s="2465"/>
      <c r="H31" s="2461"/>
      <c r="I31" s="1707"/>
    </row>
    <row r="32" spans="1:9" x14ac:dyDescent="0.25">
      <c r="A32" s="2461"/>
      <c r="B32" s="2462"/>
      <c r="C32" s="2463"/>
      <c r="E32" s="2461"/>
      <c r="F32" s="2464"/>
      <c r="G32" s="2465"/>
      <c r="H32" s="2461"/>
      <c r="I32" s="1707"/>
    </row>
    <row r="33" spans="1:9" ht="15.75" thickBot="1" x14ac:dyDescent="0.3">
      <c r="A33" s="289"/>
      <c r="B33" s="445"/>
      <c r="C33" s="448"/>
      <c r="E33" s="289"/>
      <c r="F33" s="435"/>
      <c r="G33" s="285"/>
      <c r="H33" s="289"/>
      <c r="I33" s="466"/>
    </row>
  </sheetData>
  <sheetProtection algorithmName="SHA-512" hashValue="oYJJzxrULWVxmvBy1OmD1SAQ3ctsV3VGXrZ7jCPgkaLAzhnJmYZoqaHLc2CblvY2cE9fXT+xO220PsIuavUuxA==" saltValue="QiYbeve+1inYtjFJgTqubg==" spinCount="100000" sheet="1" objects="1" scenarios="1"/>
  <sortState xmlns:xlrd2="http://schemas.microsoft.com/office/spreadsheetml/2017/richdata2" ref="E4:I11">
    <sortCondition ref="F4:F11"/>
    <sortCondition ref="H4:H11"/>
    <sortCondition ref="E4:E11"/>
  </sortState>
  <conditionalFormatting sqref="F4:F33">
    <cfRule type="cellIs" dxfId="2" priority="1" operator="equal">
      <formula>3</formula>
    </cfRule>
    <cfRule type="cellIs" dxfId="1" priority="2" operator="equal">
      <formula>2</formula>
    </cfRule>
    <cfRule type="cellIs" dxfId="0" priority="3" operator="equal">
      <formula>1</formula>
    </cfRule>
  </conditionalFormatting>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171</vt:i4>
      </vt:variant>
    </vt:vector>
  </HeadingPairs>
  <TitlesOfParts>
    <vt:vector size="181" baseType="lpstr">
      <vt:lpstr>Samenvatting</vt:lpstr>
      <vt:lpstr>Handleiding</vt:lpstr>
      <vt:lpstr>Alimentatie 2023-02</vt:lpstr>
      <vt:lpstr>Basisgegevens</vt:lpstr>
      <vt:lpstr>Kinderalimentatie</vt:lpstr>
      <vt:lpstr>Behoefteberekening</vt:lpstr>
      <vt:lpstr>Jusvergelijking</vt:lpstr>
      <vt:lpstr>Woonlasten_afwijkend</vt:lpstr>
      <vt:lpstr>Wijzigingen &amp; To Do's</vt:lpstr>
      <vt:lpstr>Keuzelijsten</vt:lpstr>
      <vt:lpstr>Behoefteberekening!Afdrukbereik</vt:lpstr>
      <vt:lpstr>Jusvergelijking!Afdrukbereik</vt:lpstr>
      <vt:lpstr>Samenvatting!Afdrukbereik</vt:lpstr>
      <vt:lpstr>AL100InkAanmBelang_AG</vt:lpstr>
      <vt:lpstr>AL100InkAanmBelang_AP</vt:lpstr>
      <vt:lpstr>AL103WerkVemInk_AG</vt:lpstr>
      <vt:lpstr>AL103WerkVemInk_AP</vt:lpstr>
      <vt:lpstr>AL108GrondslagSenB_AG</vt:lpstr>
      <vt:lpstr>AL108GrondslagSenB_AP</vt:lpstr>
      <vt:lpstr>AL111InkomenBox3_AG</vt:lpstr>
      <vt:lpstr>AL111InkomenBox3_AP</vt:lpstr>
      <vt:lpstr>AL117aRestZVWbedrag_AG</vt:lpstr>
      <vt:lpstr>AL117aRestZVWbedrag_AP</vt:lpstr>
      <vt:lpstr>AL121NBI_AG</vt:lpstr>
      <vt:lpstr>AL121NBI_AP</vt:lpstr>
      <vt:lpstr>AL121NBI_KA_AG</vt:lpstr>
      <vt:lpstr>AL121NBI_KA_AP</vt:lpstr>
      <vt:lpstr>AL41_50BrutoInkomen_AG</vt:lpstr>
      <vt:lpstr>AL41_50BrutoInkomen_AP</vt:lpstr>
      <vt:lpstr>AL41Arbeidsinkomen_AG</vt:lpstr>
      <vt:lpstr>AL41Arbeidsinkomen_AP</vt:lpstr>
      <vt:lpstr>AL41DGA_AG</vt:lpstr>
      <vt:lpstr>AL41DGA_AP</vt:lpstr>
      <vt:lpstr>AL42AOWUitkering_AG</vt:lpstr>
      <vt:lpstr>AL42AOWuitkering_AP</vt:lpstr>
      <vt:lpstr>AL43SocVerz_AG</vt:lpstr>
      <vt:lpstr>AL43SocVerz_AP</vt:lpstr>
      <vt:lpstr>AL45Bouwinkomen_AG</vt:lpstr>
      <vt:lpstr>AL45Bouwinkomen_AP</vt:lpstr>
      <vt:lpstr>AL50BrutoPensioen_AG</vt:lpstr>
      <vt:lpstr>AL50BrutoPensioen_AP</vt:lpstr>
      <vt:lpstr>AL51aPensioenSparen_AG</vt:lpstr>
      <vt:lpstr>AL51aPensioenSparen_AP</vt:lpstr>
      <vt:lpstr>AL51Pensioenpremie_AG</vt:lpstr>
      <vt:lpstr>AL51Pensioenpremie_AP</vt:lpstr>
      <vt:lpstr>AL52VUTFPUpremie_AG</vt:lpstr>
      <vt:lpstr>AL52VUTFPUpremie_AP</vt:lpstr>
      <vt:lpstr>AL53WAOWIAgat_AG</vt:lpstr>
      <vt:lpstr>AL53WAOWIAgat_AP</vt:lpstr>
      <vt:lpstr>AL54LoonvoorPremies_AG</vt:lpstr>
      <vt:lpstr>AL54LoonvoorPremies_AP</vt:lpstr>
      <vt:lpstr>AL55PremieWW_AG</vt:lpstr>
      <vt:lpstr>AL55PremieWW_AP</vt:lpstr>
      <vt:lpstr>AL56PremieAOV_AG</vt:lpstr>
      <vt:lpstr>AL56PremieAOV_AP</vt:lpstr>
      <vt:lpstr>AL58Ziektekosten_AG</vt:lpstr>
      <vt:lpstr>AL58Ziektekosten_AP</vt:lpstr>
      <vt:lpstr>AL59Arbeidsinkomen_AG</vt:lpstr>
      <vt:lpstr>AL59Arbeidsinkomen_AP</vt:lpstr>
      <vt:lpstr>AL60Arbeidsinkomen_AG</vt:lpstr>
      <vt:lpstr>AL60Arbeidsinkomen_AP</vt:lpstr>
      <vt:lpstr>AL64BelastbaarLoon_AG</vt:lpstr>
      <vt:lpstr>AL64BelastbaarLoon_AP</vt:lpstr>
      <vt:lpstr>AL70WinstOnderneming_AG</vt:lpstr>
      <vt:lpstr>AL70WinstOnderneming_AP</vt:lpstr>
      <vt:lpstr>AL75BelastbareWinst_AG</vt:lpstr>
      <vt:lpstr>AL75BelastbareWinst_AP</vt:lpstr>
      <vt:lpstr>AL78OverigeWerkz_AG</vt:lpstr>
      <vt:lpstr>AL78OverigeWerkz_AP</vt:lpstr>
      <vt:lpstr>AL79aVEWRentePA_AG</vt:lpstr>
      <vt:lpstr>AL79aVEWRentePA_AP</vt:lpstr>
      <vt:lpstr>AL81OEWFictiefInk_AG</vt:lpstr>
      <vt:lpstr>AL81OEWFictiefInk_AP</vt:lpstr>
      <vt:lpstr>AL81Periodieken_AG</vt:lpstr>
      <vt:lpstr>AL81Periodieken_AP</vt:lpstr>
      <vt:lpstr>AL81Periodieken_KA_AG</vt:lpstr>
      <vt:lpstr>AL81Periodieken_KA_AP</vt:lpstr>
      <vt:lpstr>AL85InkomstenEW_AG</vt:lpstr>
      <vt:lpstr>AL85InkomstenEW_AP</vt:lpstr>
      <vt:lpstr>AL89Inkomensvoorz_AG</vt:lpstr>
      <vt:lpstr>AL89Inkomensvoorz_AP</vt:lpstr>
      <vt:lpstr>AL90Kinderopvang_AG</vt:lpstr>
      <vt:lpstr>AL90Kinderopvang_AP</vt:lpstr>
      <vt:lpstr>AL93PersGebAftrek_AG</vt:lpstr>
      <vt:lpstr>AL93PersGebAftrek_AP</vt:lpstr>
      <vt:lpstr>AL94VerzInkomen_AG</vt:lpstr>
      <vt:lpstr>AL94VerzInkomen_AP</vt:lpstr>
      <vt:lpstr>ALZVWRestbedrag_AG</vt:lpstr>
      <vt:lpstr>ALZVWRestbedrag_AP</vt:lpstr>
      <vt:lpstr>BG_NwPartner_AP</vt:lpstr>
      <vt:lpstr>BG_NwPartner_Percentage_AP</vt:lpstr>
      <vt:lpstr>BG119aBijstand_AG</vt:lpstr>
      <vt:lpstr>BG119aBijstand_AP</vt:lpstr>
      <vt:lpstr>BG123MinForfWoonlast</vt:lpstr>
      <vt:lpstr>BG123WoonbudgetPercentage</vt:lpstr>
      <vt:lpstr>BG41eaArbeidsloon_AG</vt:lpstr>
      <vt:lpstr>BG41eaArbeidsloon_AP</vt:lpstr>
      <vt:lpstr>BG42AOWuitkering_AG</vt:lpstr>
      <vt:lpstr>BG42AOWuitkering_AP</vt:lpstr>
      <vt:lpstr>BG43SocVerzWet_AG</vt:lpstr>
      <vt:lpstr>BG43SocVerzWet_AP</vt:lpstr>
      <vt:lpstr>BG50BrutoPensioen_AG</vt:lpstr>
      <vt:lpstr>BG50BrutoPensioen_AP</vt:lpstr>
      <vt:lpstr>BG60BijtellingAuto_AG</vt:lpstr>
      <vt:lpstr>BG60BijtellingAuto_AP</vt:lpstr>
      <vt:lpstr>BG60Jaaropgave1_AG</vt:lpstr>
      <vt:lpstr>BG60Jaaropgave1_AP</vt:lpstr>
      <vt:lpstr>BG60Jaaropgave2_AG</vt:lpstr>
      <vt:lpstr>BG60Jaaropgave2_AP</vt:lpstr>
      <vt:lpstr>BG82EWFAfbouwtarief</vt:lpstr>
      <vt:lpstr>BG83HypotheekrenteW2_AG</vt:lpstr>
      <vt:lpstr>BG83HypRente_W1_AG</vt:lpstr>
      <vt:lpstr>BG83HypRenteWoning1</vt:lpstr>
      <vt:lpstr>BG83HypRenteWoning2</vt:lpstr>
      <vt:lpstr>BGAOWLeeftijdBereikt_AG</vt:lpstr>
      <vt:lpstr>BGAOWLeeftijdBereikt_AP</vt:lpstr>
      <vt:lpstr>BGBelastingbedragSchijf3</vt:lpstr>
      <vt:lpstr>BGBelastingTariefBeperking</vt:lpstr>
      <vt:lpstr>BGBelastingTariefSchijf1</vt:lpstr>
      <vt:lpstr>BGBelastingTariefSchijf2</vt:lpstr>
      <vt:lpstr>BGDrempelRendement</vt:lpstr>
      <vt:lpstr>BGHeffingsvrijVermogen</vt:lpstr>
      <vt:lpstr>BGHypNettoVDKortingen_AG</vt:lpstr>
      <vt:lpstr>BGHypNettoVDKortingen_AP</vt:lpstr>
      <vt:lpstr>BGJaarBerekening</vt:lpstr>
      <vt:lpstr>BGKGBbij119a</vt:lpstr>
      <vt:lpstr>BGKGBNaScheidingAG</vt:lpstr>
      <vt:lpstr>BGKGBNaScheidingAP</vt:lpstr>
      <vt:lpstr>BGKGBNBIMaxiamaliseren</vt:lpstr>
      <vt:lpstr>BGKind21Wel</vt:lpstr>
      <vt:lpstr>BGOEW104EWFBox3_AG</vt:lpstr>
      <vt:lpstr>BGOEW104EWFBox3_AP</vt:lpstr>
      <vt:lpstr>BGOEW104SchuldBox3_AG</vt:lpstr>
      <vt:lpstr>BGOEW104SchuldBox3_AP</vt:lpstr>
      <vt:lpstr>BGOEW117aEWFZVW_AG</vt:lpstr>
      <vt:lpstr>BGOEW117aEWFZVW_AP</vt:lpstr>
      <vt:lpstr>BGOEW117aRenteZVW_AG</vt:lpstr>
      <vt:lpstr>BGOEW117aRenteZVW_AP</vt:lpstr>
      <vt:lpstr>BGOEW123Rente_AG</vt:lpstr>
      <vt:lpstr>BGOEW123Rente_AP</vt:lpstr>
      <vt:lpstr>BGOEW138RentePA_AG</vt:lpstr>
      <vt:lpstr>BGOEW138RentePA_AP</vt:lpstr>
      <vt:lpstr>BGOEW24MndTermijn</vt:lpstr>
      <vt:lpstr>BGOEW81EWFPA_AG</vt:lpstr>
      <vt:lpstr>BGOEW81EWFPA_AP</vt:lpstr>
      <vt:lpstr>BGOEW81RentePA_AG</vt:lpstr>
      <vt:lpstr>BGOEW81RentePA_AP</vt:lpstr>
      <vt:lpstr>BGOEW82aEWF_AG</vt:lpstr>
      <vt:lpstr>BGOEW82aEWF_AP</vt:lpstr>
      <vt:lpstr>BGOEW83aRente_AG</vt:lpstr>
      <vt:lpstr>BGOEW83aRente_AP</vt:lpstr>
      <vt:lpstr>BGOEW83aRentePA_AG</vt:lpstr>
      <vt:lpstr>BGOEW83aRentePA_AP</vt:lpstr>
      <vt:lpstr>BGOEW92aEWFPA_AG</vt:lpstr>
      <vt:lpstr>BGOEW92aEWFPA_AP</vt:lpstr>
      <vt:lpstr>BGOEWAflossing</vt:lpstr>
      <vt:lpstr>BGOEWDraagkracht</vt:lpstr>
      <vt:lpstr>BGOEWErfpacht</vt:lpstr>
      <vt:lpstr>BGOEWEWF</vt:lpstr>
      <vt:lpstr>BGOEWForfaitaireLasten</vt:lpstr>
      <vt:lpstr>BGOEWRekenModule</vt:lpstr>
      <vt:lpstr>BGOEWRenteBetaler</vt:lpstr>
      <vt:lpstr>BGOEWSituatie1_5</vt:lpstr>
      <vt:lpstr>BGOEWTotRente</vt:lpstr>
      <vt:lpstr>BGOEWTotSchuld</vt:lpstr>
      <vt:lpstr>BGOEWVerlater</vt:lpstr>
      <vt:lpstr>BGOEWWoonvergoeding</vt:lpstr>
      <vt:lpstr>BGPartnerAG</vt:lpstr>
      <vt:lpstr>BGPartnerAP</vt:lpstr>
      <vt:lpstr>BGZVWJaarInkomen</vt:lpstr>
      <vt:lpstr>BGZVWPremie</vt:lpstr>
      <vt:lpstr>KADraagkrachtTekort</vt:lpstr>
      <vt:lpstr>KAEigenAandeel</vt:lpstr>
      <vt:lpstr>KAEigenAandeelAG</vt:lpstr>
      <vt:lpstr>KAEigenAandeelAP</vt:lpstr>
      <vt:lpstr>KAKindRekenAantal</vt:lpstr>
      <vt:lpstr>KAKindTotaalAantal</vt:lpstr>
      <vt:lpstr>KAKortingDraagkracht</vt:lpstr>
      <vt:lpstr>KANBIBerekend</vt:lpstr>
      <vt:lpstr>KANBIBovengrens</vt:lpstr>
      <vt:lpstr>KANBIOndergrens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 Snijder Sr.</dc:creator>
  <cp:lastModifiedBy>Snijder, A.J.</cp:lastModifiedBy>
  <cp:lastPrinted>2019-04-13T17:39:54Z</cp:lastPrinted>
  <dcterms:created xsi:type="dcterms:W3CDTF">2015-06-09T18:15:20Z</dcterms:created>
  <dcterms:modified xsi:type="dcterms:W3CDTF">2025-01-02T15:45:31Z</dcterms:modified>
</cp:coreProperties>
</file>