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2"/>
  <workbookPr/>
  <mc:AlternateContent xmlns:mc="http://schemas.openxmlformats.org/markup-compatibility/2006">
    <mc:Choice Requires="x15">
      <x15ac:absPath xmlns:x15ac="http://schemas.microsoft.com/office/spreadsheetml/2010/11/ac" url="https://d.docs.live.net/8a0e41b63ed7fe2b/Documents/Alimentatie-Scheiding-Website/Alimentatie/2024-2e-halfjaar/"/>
    </mc:Choice>
  </mc:AlternateContent>
  <xr:revisionPtr revIDLastSave="65" documentId="13_ncr:1_{D5340A41-14DB-4E63-8CF1-968A4F85B6BA}" xr6:coauthVersionLast="47" xr6:coauthVersionMax="47" xr10:uidLastSave="{46E35DCC-01E7-44F0-AF1E-515F33FFC040}"/>
  <bookViews>
    <workbookView xWindow="-120" yWindow="-120" windowWidth="29040" windowHeight="15720" tabRatio="865" activeTab="3" xr2:uid="{00000000-000D-0000-FFFF-FFFF00000000}"/>
  </bookViews>
  <sheets>
    <sheet name="Samenvatting" sheetId="13" r:id="rId1"/>
    <sheet name="Handleiding" sheetId="18" r:id="rId2"/>
    <sheet name="Alimentatie 2024-02" sheetId="6" r:id="rId3"/>
    <sheet name="Basisgegevens" sheetId="7" r:id="rId4"/>
    <sheet name="Kinderalimentatie" sheetId="8" r:id="rId5"/>
    <sheet name="Behoefteberekening" sheetId="17" r:id="rId6"/>
    <sheet name="Jusvergelijking" sheetId="16" r:id="rId7"/>
    <sheet name="Woonlasten_afwijkend" sheetId="19" r:id="rId8"/>
    <sheet name="Wijzigingen &amp; To Do's" sheetId="14" r:id="rId9"/>
    <sheet name="Keuzelijsten" sheetId="9" r:id="rId10"/>
  </sheets>
  <definedNames>
    <definedName name="_xlnm._FilterDatabase" localSheetId="2" hidden="1">'Alimentatie 2024-02'!$A$2:$H$330</definedName>
    <definedName name="_xlnm.Print_Area" localSheetId="5">Behoefteberekening!$A$1:$G$70</definedName>
    <definedName name="_xlnm.Print_Area" localSheetId="6">Jusvergelijking!$A$1:$F$26</definedName>
    <definedName name="_xlnm.Print_Area" localSheetId="0">Samenvatting!$A$1:$H$7</definedName>
    <definedName name="AL100InkAanmBelang_AG" comment="Post 100 Inkomen uit aanmerkelijk belang AG">'Alimentatie 2024-02'!$F$146</definedName>
    <definedName name="AL100InkAanmBelang_AP" comment="Post 100 Inkomen uit aanmerkelijk belang AP">'Alimentatie 2024-02'!$D$146</definedName>
    <definedName name="AL103WerkVemInk_AG" comment="Post 103 Werkelijke vemogens-inkomsten AG">'Alimentatie 2024-02'!$F$155</definedName>
    <definedName name="AL103WerkVemInk_AP" comment="Post 103 Werkelijke vemogensinkomsten AP">'Alimentatie 2024-02'!$D$155</definedName>
    <definedName name="AL108GrondslagSenB_AG" comment="Post 108 Grondslag Sparen en Beleggen AG">'Alimentatie 2024-02'!$F$171</definedName>
    <definedName name="AL108GrondslagSenB_AP" comment="Post 108 Grondslag Sparen en Beleggen AP">'Alimentatie 2024-02'!$D$171</definedName>
    <definedName name="AL111InkomenBox3_AG" comment="Post 111 Belastbaar inkomen uit sparen en beleggen box 3 AG">'Alimentatie 2024-02'!$F$175</definedName>
    <definedName name="AL111InkomenBox3_AP" comment="Post 111 Belastbaar inkomen uit sparen en beleggen box 3 AP">'Alimentatie 2024-02'!$D$175</definedName>
    <definedName name="AL117aRestZVWbedrag_AG" comment="Het resterende inkomen waarover nog ZKV premie geheven kan worden AG">'Alimentatie 2024-02'!$F$213</definedName>
    <definedName name="AL117aRestZVWbedrag_AP" comment="Het resterende inkomen waarover nog ZKV premie geheven kan worden AP">'Alimentatie 2024-02'!$D$213</definedName>
    <definedName name="AL121NBI_AG">'Alimentatie 2024-02'!$F$246</definedName>
    <definedName name="AL121NBI_AP">'Alimentatie 2024-02'!$D$246</definedName>
    <definedName name="AL121NBI_KA_AG">'Alimentatie 2024-02'!$G$246</definedName>
    <definedName name="AL121NBI_KA_AP">'Alimentatie 2024-02'!$E$246</definedName>
    <definedName name="AL41_50BrutoInkomen_AG" comment="Post 41 tm 50 Bruto Jaar inkomen AG">'Alimentatie 2024-02'!$F$21</definedName>
    <definedName name="AL41_50BrutoInkomen_AP" comment="Post 41 tm 50 Bruto Jaar inkomen AP">'Alimentatie 2024-02'!$D$21</definedName>
    <definedName name="AL41Arbeidsinkomen_AG" comment="Post 41 Bruto arbeidsinkomen uit dienstbetrekking AG">'Alimentatie 2024-02'!$F$6</definedName>
    <definedName name="AL41Arbeidsinkomen_AP" comment="Post 41 Bruto arbeidsinkomen uit dienstbetrekking AP">'Alimentatie 2024-02'!$D$6</definedName>
    <definedName name="AL41DGA_AG" comment="Post 41 Zijn dit inkomsten verkregen als DGA en moet een eigen bijdrage ZVW worden betaald? (Standaard is Nee) AG">'Alimentatie 2024-02'!$F$13</definedName>
    <definedName name="AL41DGA_AP" comment="Post 41 Zijn dit inkomsten verkregen als DGA en moet een eigen bijdrage ZVW worden betaald? (Standaard is Nee) AP">'Alimentatie 2024-02'!$D$13</definedName>
    <definedName name="AL42AOWUitkering_AG" comment="Post 42 Bruto AOW uitkering AG">'Alimentatie 2024-02'!$F$15</definedName>
    <definedName name="AL42AOWuitkering_AP" comment="Post 42 Bruto AOW uitkering AP">'Alimentatie 2024-02'!$D$15</definedName>
    <definedName name="AL43SocVerz_AG" comment="Post 43 Bruto Uitkering Soc. verzekeringswetten AP">'Alimentatie 2024-02'!$F$16</definedName>
    <definedName name="AL43SocVerz_AP" comment="Post 43 Bruto Uitkering Soc. verzekeringswetten AP">'Alimentatie 2024-02'!$D$16</definedName>
    <definedName name="AL45Bouwinkomen_AG" comment="Post 45: Inkomen Bouw incl. vakantiebonnen AG">'Alimentatie 2024-02'!$F$17</definedName>
    <definedName name="AL45Bouwinkomen_AP" comment="Post 45: Inkomen Bouw incl. vakantiebonnen AP">'Alimentatie 2024-02'!$D$17</definedName>
    <definedName name="AL50BrutoPensioen_AG" comment="Post 50 Bruto Pensioen uitkering AG">'Alimentatie 2024-02'!$F$20</definedName>
    <definedName name="AL50BrutoPensioen_AP" comment="Post 50 Bruto Pensioen uitkering AP">'Alimentatie 2024-02'!$D$20</definedName>
    <definedName name="AL51aPensioenSparen_AG">'Alimentatie 2024-02'!$G$31</definedName>
    <definedName name="AL51aPensioenSparen_AP" comment="Post 51a: Afgedragen premie Netto Pensioensparen AP">'Alimentatie 2024-02'!$E$31</definedName>
    <definedName name="AL51Pensioenpremie_AG" comment="Post 51 Ingehouden pensionpremie AG">'Alimentatie 2024-02'!$F$30</definedName>
    <definedName name="AL51Pensioenpremie_AP" comment="Post 51 Ingehouden pensioen-premie AP">'Alimentatie 2024-02'!$D$30</definedName>
    <definedName name="AL52VUTFPUpremie_AG" comment="Post 52 Premie VUT/FPU etc AG">'Alimentatie 2024-02'!$F$32</definedName>
    <definedName name="AL52VUTFPUpremie_AP" comment="Post 52 Premie VUT/FPU etc AP">'Alimentatie 2024-02'!$D$32</definedName>
    <definedName name="AL53WAOWIAgat_AG" comment="Post 53 Premie WAO/WIA-gat AG">'Alimentatie 2024-02'!$F$33</definedName>
    <definedName name="AL53WAOWIAgat_AP" comment="Post 53 Premie WAO/WIA-gat AP">'Alimentatie 2024-02'!$D$33</definedName>
    <definedName name="AL54LoonvoorPremies_AG" comment="Post 54 hLoon voor premies Werknemersverzekeringen AG">'Alimentatie 2024-02'!$F$34</definedName>
    <definedName name="AL54LoonvoorPremies_AP" comment="Post 54 hLoon voor premies Werknemersverzekeringen AP">'Alimentatie 2024-02'!$D$34</definedName>
    <definedName name="AL55PremieWW_AG" comment="Post 55 Premie WW AG">'Alimentatie 2024-02'!$F$37</definedName>
    <definedName name="AL55PremieWW_AP" comment="Post 55 Premie WW AP">'Alimentatie 2024-02'!$D$37</definedName>
    <definedName name="AL56PremieAOV_AG" comment="Post 56 Premie Arbeidsongeschikt-heidsverzekering AG">'Alimentatie 2024-02'!$F$38</definedName>
    <definedName name="AL56PremieAOV_AP" comment="Post 56 Premie Arbeidsongeschikt-heidsverzekering AP">'Alimentatie 2024-02'!$D$38</definedName>
    <definedName name="AL58Ziektekosten_AG" comment="Post 58 Belaste bijdrage in de ziektekosten AG">'Alimentatie 2024-02'!$F$43</definedName>
    <definedName name="AL58Ziektekosten_AP" comment="Post 58 Belaste bijdrage in de ziektekosten AP">'Alimentatie 2024-02'!$D$43</definedName>
    <definedName name="AL59Arbeidsinkomen_AG" comment="Post 59 Arbeidsinkomen van de AG o.b.v. loonstroken (59) (zie ook post 60)">'Alimentatie 2024-02'!$F$44</definedName>
    <definedName name="AL59Arbeidsinkomen_AP" comment="Post 59 Arbeidsinkomen van de AP o.b.v. loonstroken (59) (zie ook post 60)">'Alimentatie 2024-02'!$D$44</definedName>
    <definedName name="AL60Arbeidsinkomen_AG" comment="Post 60 Arbeidsinkomen van de AG o.b.v. jaaropgave (60) (zie ook post 59)">'Alimentatie 2024-02'!$F$50</definedName>
    <definedName name="AL60Arbeidsinkomen_AP" comment="Post 60 Arbeidsinkomen van de AP o.b.v. jaaropgave (60) (zie ook post 59)">'Alimentatie 2024-02'!$D$50</definedName>
    <definedName name="AL64BelastbaarLoon_AG" comment="Post 64 Belastbaar loon AG (a)">'Alimentatie 2024-02'!$F$56</definedName>
    <definedName name="AL64BelastbaarLoon_AP" comment="Post 64 Belastbaar Loon AP (a)">'Alimentatie 2024-02'!$D$56</definedName>
    <definedName name="AL70WinstOnderneming_AG" comment="Post 70 Winst uit onderneming AG">'Alimentatie 2024-02'!$F$66</definedName>
    <definedName name="AL70WinstOnderneming_AP" comment="Post 70 Winst uit onderneming AP">'Alimentatie 2024-02'!$D$66</definedName>
    <definedName name="AL75BelastbareWinst_AG" comment="Post 75 Belastbare Winst AG (b)">'Alimentatie 2024-02'!$F$75</definedName>
    <definedName name="AL75BelastbareWinst_AP" comment="Post 75 Belastbare Winst AP">'Alimentatie 2024-02'!$D$75</definedName>
    <definedName name="AL78OverigeWerkz_AG" comment="Post 78 Resultaat Overige Werkzaamheden AG">'Alimentatie 2024-02'!$F$80</definedName>
    <definedName name="AL78OverigeWerkz_AP" comment="Post 78 Resultaat Overige Werkzaamheden AP">'Alimentatie 2024-02'!$D$80</definedName>
    <definedName name="AL79aVEWRentePA_AG" comment="Post 79a Door de ex. partner AP betaalde hypotheekrente als partneralimentatie ">'Alimentatie 2024-02'!$F$84</definedName>
    <definedName name="AL79aVEWRentePA_AP" comment="Post 79a Door de ex. partner AG betaalde hypotheekrente als partneralimentatie AL79aVEWRentePA_AP">'Alimentatie 2024-02'!$D$84</definedName>
    <definedName name="AL81OEWFictiefInk_AG" comment="Post 81: Fictief inkomen uit OEW AG">'Alimentatie 2024-02'!$F$91</definedName>
    <definedName name="AL81OEWFictiefInk_AP" comment="Post 81: Fictief inkomen uit OEW AP">'Alimentatie 2024-02'!$D$91</definedName>
    <definedName name="AL81PeriodiekeUitk_AG" comment="Post 81 Periode Uitkeringen en Verstrekkingen AG (d)">'Alimentatie 2024-02'!$F$86</definedName>
    <definedName name="AL81PeriodiekeUitk_AP" comment="Post 81 Periodieke Uitkeringen en Verstrekkingen (d) AP">'Alimentatie 2024-02'!$D$86</definedName>
    <definedName name="AL81PeriodiekeUitk_KA_AG" comment="Post 81 Periodieke Uitkeringen en Verstrekkingen (d) KA AG">'Alimentatie 2024-02'!$G$86</definedName>
    <definedName name="AL81PeriodiekeUitk_KA_AP" comment="Post 81 Periodieke Uitkeringen en Verstrekkingen (d) KA AP">'Alimentatie 2024-02'!$E$86</definedName>
    <definedName name="AL85InkomstenEW_AG" comment="Post 85: (Fictieve) inkomsten uit Eigen Woning AG">'Alimentatie 2024-02'!$F$102</definedName>
    <definedName name="AL85InkomstenEW_AP" comment="Post 85: (Fictieve) inkomsten uit Eigen Woning AP">'Alimentatie 2024-02'!$D$102</definedName>
    <definedName name="AL89Inkomensvoorz_AG" comment="Post 89 Uitgaven voor inkomens-voorziening AG">'Alimentatie 2024-02'!$F$108</definedName>
    <definedName name="AL89Inkomensvoorz_AP" comment="Post 89 Uitgaven voor inkomens-voorziening AP">'Alimentatie 2024-02'!$D$108</definedName>
    <definedName name="AL90Kinderopvang_AG" comment="Post 90 Uitgaven voor kinder-opvang AG">'Alimentatie 2024-02'!$F$110</definedName>
    <definedName name="AL90Kinderopvang_AP" comment="Post 90 Uitgaven voor kinder-opvang AP">'Alimentatie 2024-02'!$D$110</definedName>
    <definedName name="AL93PersGebAftrek_AG" comment="Post 93 Persoonsgebonden aftrek AG">'Alimentatie 2024-02'!$F$116</definedName>
    <definedName name="AL93PersGebAftrek_AP" comment="Post 93 Persoonsgebonden aftrek AP">'Alimentatie 2024-02'!$D$116</definedName>
    <definedName name="AL94VerzInkomen_AG" comment="Post 94 Bbelastbaar/verzamel-inkomen van de AG">'Alimentatie 2024-02'!$F$129</definedName>
    <definedName name="AL94VerzInkomen_AP" comment="Post 94 Belastbaar / verzamel-inkomen van de AP">'Alimentatie 2024-02'!$D$129</definedName>
    <definedName name="ALZVWRestbedrag_AG" comment="Het restbedrag waarover nog ZVW premie geheven zou mogen worden AG">'Alimentatie 2024-02'!$F$202</definedName>
    <definedName name="ALZVWRestbedrag_AP" comment="Het restbedrag waarover nog ZVW premie geheven zou mogen worden AP">'Alimentatie 2024-02'!$D$202</definedName>
    <definedName name="BG041eaArbeidsloon_AG" comment="Post 41: De totale inkomsten uit Arbeid inclusief de post 42, 44 en 46 t/m 48 AG">Basisgegevens!$F$73</definedName>
    <definedName name="BG041eaArbeidsloon_AP" comment="Post 41: De totale inkomsten uit Arbeid inclusief de post 42, 44 en 46 t/m 48 AP">Basisgegevens!$D$73</definedName>
    <definedName name="BG042AOWuitkering_AG" comment="Post 42 Bruto AOW uitkering AG">Basisgegevens!$F$121</definedName>
    <definedName name="BG042AOWuitkering_AP" comment="Post 42 Bruto AOW uitkering AP">Basisgegevens!$D$121</definedName>
    <definedName name="BG043SocVerzWet_AG" comment="Post 43: Bruto uitkering Sociale verzekeringswetten AG">Basisgegevens!$F$131</definedName>
    <definedName name="BG043SocVerzWet_AP" comment="Post 43: Bruto uitkering Sociale verzekeringswetten AP">Basisgegevens!$D$131</definedName>
    <definedName name="BG050BrutoPensioen_AG" comment="Post 50 Bruto pensioen uitkering AG">Basisgegevens!$F$139</definedName>
    <definedName name="BG050BrutoPensioen_AP" comment="Post 50 Bruto pensioen uitkering AP">Basisgegevens!$D$139</definedName>
    <definedName name="BG060BijtellingAuto_AG" comment="Post 60 Bijtelling (lease)auto - bij Ja - in mindering brengen op loon jaaropgave werkgever 1 AG">Basisgegevens!$F$34</definedName>
    <definedName name="BG060BijtellingAuto_AP" comment="Post 60 Bijtelling (lease)auto - bij Ja - in mindering brengen op loon jaaropgave werkgever 1 AP">Basisgegevens!$D$34</definedName>
    <definedName name="BG060Jaaropgave1_AG" comment="Post 60 Loon volgens jaaropgave werkgever 1 incl. evt. bijtelling leaseauto AG">Basisgegevens!$E$33</definedName>
    <definedName name="BG060Jaaropgave1_AP" comment="Post 60 Loon volgens jaaropgave werkgever 1 incl. evt. bijtelling leaseauto AP">Basisgegevens!$C$33</definedName>
    <definedName name="BG060Jaaropgave2_AG" comment="Post 60 Loon volgens jaaropgave werkgever 2 AG">Basisgegevens!$E$35</definedName>
    <definedName name="BG060Jaaropgave2_AP" comment="Post 60 Loon volgens jaaropgave werkgever 2 AP">Basisgegevens!$C$35</definedName>
    <definedName name="BG082EWFAfbouwtarief" comment="De aftrek geen/kleine eigenwoningschuld wordt jaarlijks x% lager tot uiteindelijk 0% in 2048">Basisgegevens!$C$180</definedName>
    <definedName name="BG083HypotheekrenteW2_AG" comment="Post 83 Hypotheekrente van woning 2 AG (bij geen OEW)">Basisgegevens!$E$187</definedName>
    <definedName name="BG083HypRente_W1_AG" comment="Post 83 Hypotheekrente van woning 1 AG (geen OEW)">Basisgegevens!$F$174</definedName>
    <definedName name="BG083HypRenteWoning1" comment="Post 83 Hypotheekrente van woning 1">Basisgegevens!$E$174</definedName>
    <definedName name="BG083HypRenteWoning2" comment="Post 83 Hypotheekrente van woning 2 AP (bij geen OEW)">Basisgegevens!$F$187</definedName>
    <definedName name="BG119aBijstand_AG" comment="Door de AG ontvangen bijstand">Basisgegevens!$F$211</definedName>
    <definedName name="BG119aBijstand_AP" comment="Door de AP ontvangen bijstand">Basisgegevens!$D$211</definedName>
    <definedName name="BG119aKGBNaScheidingAG" comment="Het na scheiding te ontvangen Kindgebonden budget (KGB) door AG">Basisgegevens!$D$286</definedName>
    <definedName name="BG119aKGBNaScheidingAP" comment="Het na scheiding te ontvangen Kindgebonden budget (KGB) door AP">Basisgegevens!$C$286</definedName>
    <definedName name="BG121NBI_AG">Basisgegevens!$D$231</definedName>
    <definedName name="BG121NBI_AP">Basisgegevens!$C$231</definedName>
    <definedName name="BG121NBI_KA_AG">Basisgegevens!$D$230</definedName>
    <definedName name="BG121NBI_KA_AP">Basisgegevens!$C$230</definedName>
    <definedName name="BG123MinForfWoonlast" comment="Minimale Fofataire Woonlast">Basisgegevens!$C$223</definedName>
    <definedName name="BG123VastWoonbudget_AG">Basisgegevens!$D$235</definedName>
    <definedName name="BG123VastWoonbudget_AP">Basisgegevens!$C$235</definedName>
    <definedName name="BG123WoonbudgetPercentage" comment="Het woonbudget% van het Netto Besteedbaar Inkomen (NBI)">Basisgegevens!$C$224</definedName>
    <definedName name="BGAOWLeeftijdBereikt_AG" comment="Heeft de AG de AOW leeftijd bereikt">Basisgegevens!$D$10</definedName>
    <definedName name="BGAOWLeeftijdBereikt_AP" comment="Heeft de AP de AOW leeftijd bereikt">Basisgegevens!$C$10</definedName>
    <definedName name="BGBelastingbedragSchijf3" comment="Het belastbaar bedrag waar vanaf het hoogste belastingtarief geldt">Basisgegevens!$M$17</definedName>
    <definedName name="BGBelastingTariefBeperking" comment="Beperking hoogste belastingtarief bij de hogere inkomens">Basisgegevens!$C$216</definedName>
    <definedName name="BGBelastingTariefSchijf1" comment="Het belastingtarief in schijf 1">Basisgegevens!$O$16</definedName>
    <definedName name="BGBelastingTariefSchijf2" comment="Belastingtarief in schijf 2">Basisgegevens!$O$17</definedName>
    <definedName name="BGDrempelRendement" comment="Drempelbedrag schulden bij rendementsgrondslag">Basisgegevens!$C$219</definedName>
    <definedName name="BGHeffingsvrijVermogen" comment="Heffingsvrij vermogen zonder fiscale partner">Basisgegevens!$M$204</definedName>
    <definedName name="BGHypNettoVDKortingen_AG" comment="Het verschil aan heffingskortingen o.b.v. betaalde hypotheekrente t.a.v. bepalen van het netto belastingvoordeel hiervan voor de woonlasten AG">Basisgegevens!$Z$76</definedName>
    <definedName name="BGHypNettoVDKortingen_AP" comment="Het verschil aan heffingskortingen o.b.v. betaalde hypotheekrente t.a.v. bepalen van het netto belastingvoordeel hiervan voor de woonlasten AP.">Basisgegevens!$Y$76</definedName>
    <definedName name="BGJaarBerekening" comment="Het jaartal waarvoor de berekening moet worden gemaakt">Basisgegevens!$C$17</definedName>
    <definedName name="BGKGBbij119a" comment="Het - na scheiding - te ontvangen Kingebondenbudget opvoeren bij post 119a?">Basisgegevens!$C$288</definedName>
    <definedName name="BGKGBvoorScheiding">Basisgegevens!$E$281</definedName>
    <definedName name="BGKind21Wel" comment="Een kind van 21 jaar of ouder wel mee blijven nemen bij de berekening van de kinderalimentatie">Basisgegevens!$E$291</definedName>
    <definedName name="BGMKBWinstVrijstelling">Basisgegevens!$C$163</definedName>
    <definedName name="BGNBIMaxiamaliseren" comment="NBI maximaliseren op € 6000,- bij een NBI &gt; € 6000,- (Ja / Nee)">Basisgegevens!$C$289</definedName>
    <definedName name="BGNieuwePartner_AP" comment="Is er sprake van een nieuwe partner van AP met voldoende eigen inkomen?">Basisgegevens!$C$11</definedName>
    <definedName name="BGNieuwePartner_Percentage_AP" comment="Het % dat de nieuwe partner van AP bijdraagt in de woonlasten">Basisgegevens!$C$12</definedName>
    <definedName name="BGOEW104EWFBox3_AG" comment="Post 104 OEW het EWF-aandeel naar box 3 AG">Basisgegevens!$Q$185</definedName>
    <definedName name="BGOEW104EWFBox3_AP" comment="Post 104 OEW het EWF-aandeel naar box 3 AP">Basisgegevens!$P$185</definedName>
    <definedName name="BGOEW104SchuldBox3_AG" comment="Post 104 OEW het aandeel in de woningschuld naar box 3 AG">Basisgegevens!$Q$193</definedName>
    <definedName name="BGOEW104SchuldBox3_AP" comment="Post 104 OEW het aandeel in de woningschuld naar box 3 AP">Basisgegevens!$P$193</definedName>
    <definedName name="BGOEW117aEWFZVW_AG" comment="Bedrag aan Eigen Woning Forfait waarover bijdrage ZVW is verschuldigd AG">Basisgegevens!$Q$186</definedName>
    <definedName name="BGOEW117aEWFZVW_AP" comment="Bedrag aan Eigen Woning Forfait waarover bijdrage ZVW is verschuldigd">Basisgegevens!$P$186</definedName>
    <definedName name="BGOEW117aRenteZVW_AG" comment="Bedrag aan Rente waarover bijdrage ZVW is verschuldigd AG">Basisgegevens!$Q$190</definedName>
    <definedName name="BGOEW117aRenteZVW_AP" comment="Bedrag aan Rente waarover bijdrage ZVW is verschuldigd AP">Basisgegevens!$P$190</definedName>
    <definedName name="BGOEW123Rente_AG" comment="Post 123 OEW Rente OEW AG">Basisgegevens!$Q$191</definedName>
    <definedName name="BGOEW123Rente_AP" comment="Post 123 OEW Rente OEW AP">Basisgegevens!$P$191</definedName>
    <definedName name="BGOEW138RentePA_AG" comment="Post 138 Rente betaaald aan ex als PA AG">Basisgegevens!$Q$192</definedName>
    <definedName name="BGOEW138RentePA_AP" comment="Post 138 Rente betaaald aan ex als PA AP">Basisgegevens!$P$192</definedName>
    <definedName name="BGOEW24MndTermijn" comment="Woning langer dan 24 maanden geleden verlaten?">Basisgegevens!$P$166</definedName>
    <definedName name="BGOEW81EWFPA_AG" comment="Post 81 Eigen Woning Forfait ontvangen als PA door AG (81)">Basisgegevens!$Q$182</definedName>
    <definedName name="BGOEW81EWFPA_AP" comment="Post 81 Eigen Woning Forfait ontvangen als PA door AP (81)">Basisgegevens!$P$182</definedName>
    <definedName name="BGOEW81RentePA_AG" comment="Post 81 Eigen Woning Rente ontvangen als PA door AG (81)">Basisgegevens!$Q$187</definedName>
    <definedName name="BGOEW81RentePA_AP" comment="Post 81 Eigen Woning Rente ontvangen als PA door AP (81)">Basisgegevens!$P$187</definedName>
    <definedName name="BGOEW82aEWF_AG" comment="Post 82a Onverdeeld Eigen Woning Forfait ten laste van AG">Basisgegevens!$Q$183</definedName>
    <definedName name="BGOEW82aEWF_AP" comment="Post 82a Onverdeeld Eigen Woning Forfait ten laste van AP">Basisgegevens!$P$183</definedName>
    <definedName name="BGOEW83aRente_AG" comment="Post 83a Onverdeeld Eigen Woning Rente Eigen aandeel AG">Basisgegevens!$Q$188</definedName>
    <definedName name="BGOEW83aRente_AP" comment="Post 83a Onverdeeld Eigen Woning Rente Eigen aandeel AP">Basisgegevens!$P$188</definedName>
    <definedName name="BGOEW83aRentePA_AG" comment="Post 83a Onverdeeld Eigen Woning Rente betaald als PA AP">Basisgegevens!$Q$189</definedName>
    <definedName name="BGOEW83aRentePA_AP" comment="Post 83a Onverdeeld Eigen Woning Rente betaald als PA AP">Basisgegevens!$P$189</definedName>
    <definedName name="BGOEW92aEWFPA_AG" comment="Post 92a Onverdeeld Eigen Woning Forfait betaald als PA AG">Basisgegevens!$Q$184</definedName>
    <definedName name="BGOEW92aEWFPA_AP" comment="Post 92a Onverdeeld Eigen Woning Forfait betaald als PA AP">Basisgegevens!$P$184</definedName>
    <definedName name="BGOEWAflossing" comment="Wie betaald de aflossing voor de Onverdeeld Eigen Woning?">Basisgegevens!$P$171</definedName>
    <definedName name="BGOEWDraagkracht" comment="Keuzelijst tussen: Berekenen o.b.v. Draagkracht (Standaaard) of Draagkrachtloos inkomen">Basisgegevens!$P$175</definedName>
    <definedName name="BGOEWErfpacht" comment="Wie betaald post 84 Periodieke betaling erfpacht etc.">Basisgegevens!$P$172</definedName>
    <definedName name="BGOEWEWF" comment="Wat is het Eigen Woning Forfait?">Basisgegevens!$P$168</definedName>
    <definedName name="BGOEWForfaitaireLasten" comment="Wie betaald de fofaitaire eigenaarslasten?">Basisgegevens!$P$173</definedName>
    <definedName name="BGOEWRekenModule" comment="Rekenen met Onverdeeld Eigen Woning Module?">Basisgegevens!$E$165</definedName>
    <definedName name="BGOEWRenteBetaler" comment="Wie betaald de rente?">Basisgegevens!$P$170</definedName>
    <definedName name="BGOEWSituatie1_5" comment="Geeft de situatie aan bij een Onverdeelde Eigen Woning (1 t/m 5)">Basisgegevens!$P$176</definedName>
    <definedName name="BGOEWTotRente" comment="Totale hypotheekrente/jaar">Basisgegevens!$P$169</definedName>
    <definedName name="BGOEWTotSchuld" comment="Totale schuld van de Onverdeeld Eigen Woning">Basisgegevens!$P$174</definedName>
    <definedName name="BGOEWVerlater" comment="Wie heeft de eigen woning verlaten">Basisgegevens!$P$165</definedName>
    <definedName name="BGOEWWoonvergoeding" comment="Te ontvangen woonvergoeding door de verlater van de woning">Basisgegevens!$E$195</definedName>
    <definedName name="BGOppaskostenvoorScheiding">Basisgegevens!$E$280</definedName>
    <definedName name="BGPartner_AG" comment="De alimentatiegerechtigde partner AG">Basisgegevens!$D$4</definedName>
    <definedName name="BGPartner_AP" comment="De alimentatieplichtinge partner PA">Basisgegevens!$C$4</definedName>
    <definedName name="BGTariefBox2">Basisgegevens!$C$217</definedName>
    <definedName name="BGTariefBox3">Basisgegevens!$C$218</definedName>
    <definedName name="BGZVWJaarInkomen" comment="Maximale inkomen uit arbeid waarover ZVW-premie wordt geheven">Basisgegevens!$C$221</definedName>
    <definedName name="BGZVWPremie" comment="% premie ZVW bij Partner Alimenentatie">Basisgegevens!$C$220</definedName>
    <definedName name="KADraagkrachtTekort" comment="Het bedrag wat er tekort is aan draagkracht">Kinderalimentatie!$U$10</definedName>
    <definedName name="KAEigenAandeel" comment="Eigen aandeel ouders conform NIBUD tabel">Kinderalimentatie!$D$23</definedName>
    <definedName name="KAEigenAandeelAG" comment="Het eigen aandeel in de kosten van de kinderen AG">Kinderalimentatie!$T$41</definedName>
    <definedName name="KAEigenAandeelAP" comment="Het eigen aandeel in de kosten van de kinderen AP">Kinderalimentatie!$P$41</definedName>
    <definedName name="KAKindRekenAantal" comment="Het totaal aantal kinderen waarmee gerekend wordt, het aantal kinderen is max. 4">Kinderalimentatie!$M$11</definedName>
    <definedName name="KAKindTotaalAantal" comment="Werkelijk aantal kinderen onder de 21 jaar">Kinderalimentatie!$L$11</definedName>
    <definedName name="KAKortingDraagkracht" comment="Kortingspercentage als er te weinig draagkracht is">Kinderalimentatie!$U$12</definedName>
    <definedName name="KANBIBerekend" comment="Het berekende Netto Besteedbaar Inkomen van de ouders">Kinderalimentatie!$E$11</definedName>
    <definedName name="KANBIBovengrens" comment="Berekende Maximum Inkomensgrens t.a.v. het NBI">Kinderalimentatie!$E$18</definedName>
    <definedName name="KANBIOndergrens" comment="Berekende Minimum Inkomensgrens t.a.v. het NBI">Kinderalimentatie!$D$18</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315" i="7" l="1"/>
  <c r="N323" i="7"/>
  <c r="E313" i="7"/>
  <c r="O323" i="7"/>
  <c r="G247" i="7"/>
  <c r="I247" i="7"/>
  <c r="J247" i="7"/>
  <c r="F235" i="7"/>
  <c r="B235" i="7"/>
  <c r="H252" i="6"/>
  <c r="B252" i="6"/>
  <c r="G258" i="7"/>
  <c r="J258" i="7"/>
  <c r="I258" i="7"/>
  <c r="B247" i="7"/>
  <c r="B258" i="7"/>
  <c r="F283" i="6"/>
  <c r="D283" i="6"/>
  <c r="G222" i="6" l="1"/>
  <c r="E222" i="6"/>
  <c r="B169" i="6" l="1"/>
  <c r="B74" i="6"/>
  <c r="B176" i="6"/>
  <c r="G176" i="6"/>
  <c r="B660" i="6"/>
  <c r="C217" i="7"/>
  <c r="B147" i="6" s="1"/>
  <c r="M145" i="7"/>
  <c r="M146" i="7"/>
  <c r="S136" i="7"/>
  <c r="N90" i="7"/>
  <c r="N89" i="7"/>
  <c r="N108" i="7"/>
  <c r="N107" i="7"/>
  <c r="S108" i="7" s="1"/>
  <c r="N128" i="7"/>
  <c r="N127" i="7"/>
  <c r="N126" i="7"/>
  <c r="N125" i="7"/>
  <c r="S99" i="7"/>
  <c r="S90" i="7"/>
  <c r="S82" i="7"/>
  <c r="G237" i="6"/>
  <c r="E237" i="6"/>
  <c r="G123" i="6"/>
  <c r="E123" i="6"/>
  <c r="B261" i="6"/>
  <c r="E260" i="6"/>
  <c r="D260" i="6"/>
  <c r="E259" i="6"/>
  <c r="H259" i="6"/>
  <c r="B260" i="6"/>
  <c r="D259" i="6"/>
  <c r="B259" i="6"/>
  <c r="F43" i="8"/>
  <c r="A43" i="8"/>
  <c r="F147" i="6" l="1" a="1"/>
  <c r="F147" i="6" s="1"/>
  <c r="E147" i="6" a="1"/>
  <c r="E147" i="6" s="1"/>
  <c r="G147" i="6" a="1"/>
  <c r="G147" i="6" s="1"/>
  <c r="D147" i="6" a="1"/>
  <c r="D147" i="6" s="1"/>
  <c r="C30" i="8"/>
  <c r="H13" i="8"/>
  <c r="F33" i="7"/>
  <c r="F35" i="7"/>
  <c r="B81" i="16"/>
  <c r="A81" i="16"/>
  <c r="B80" i="16"/>
  <c r="A80" i="16"/>
  <c r="B48" i="17"/>
  <c r="A48" i="17"/>
  <c r="B50" i="17"/>
  <c r="B49" i="17"/>
  <c r="A49" i="17"/>
  <c r="A50" i="17"/>
  <c r="B232" i="6"/>
  <c r="A232" i="6"/>
  <c r="B233" i="6"/>
  <c r="A233" i="6"/>
  <c r="D123" i="7"/>
  <c r="D232" i="6" s="1"/>
  <c r="E232" i="6" s="1"/>
  <c r="F123" i="7"/>
  <c r="F232" i="6" s="1"/>
  <c r="G232" i="6" s="1"/>
  <c r="B140" i="7"/>
  <c r="B123" i="7"/>
  <c r="H227" i="6"/>
  <c r="F227" i="6"/>
  <c r="D227" i="6"/>
  <c r="G198" i="6" l="1"/>
  <c r="E198" i="6"/>
  <c r="C80" i="16" s="1"/>
  <c r="B170" i="7"/>
  <c r="AD183" i="7"/>
  <c r="AD193" i="7"/>
  <c r="AD188" i="7"/>
  <c r="AD185" i="7"/>
  <c r="E80" i="16" l="1"/>
  <c r="F49" i="17"/>
  <c r="E49" i="17" s="1"/>
  <c r="D16" i="7"/>
  <c r="E3" i="19"/>
  <c r="D3" i="19"/>
  <c r="E139" i="7"/>
  <c r="F77" i="16" l="1"/>
  <c r="B19" i="16"/>
  <c r="B4" i="16"/>
  <c r="B5" i="16"/>
  <c r="F101" i="16"/>
  <c r="D104" i="16"/>
  <c r="B103" i="16"/>
  <c r="B77" i="16"/>
  <c r="A77" i="16"/>
  <c r="A86" i="16"/>
  <c r="A211" i="6"/>
  <c r="A87" i="16" s="1"/>
  <c r="B79" i="16"/>
  <c r="A79" i="16"/>
  <c r="F38" i="16"/>
  <c r="D38" i="16"/>
  <c r="B38" i="16"/>
  <c r="A38" i="16"/>
  <c r="B10" i="16"/>
  <c r="A10" i="16"/>
  <c r="F103" i="16"/>
  <c r="E44" i="19"/>
  <c r="E11" i="16" s="1"/>
  <c r="D44" i="19"/>
  <c r="C11" i="16" s="1"/>
  <c r="F205" i="6"/>
  <c r="F51" i="17" s="1"/>
  <c r="E51" i="17" s="1"/>
  <c r="D77" i="16" l="1"/>
  <c r="B230" i="6"/>
  <c r="A230" i="6"/>
  <c r="B236" i="6"/>
  <c r="A238" i="6"/>
  <c r="A236" i="6"/>
  <c r="D201" i="6"/>
  <c r="B45" i="17" l="1"/>
  <c r="Z109" i="7"/>
  <c r="Y109" i="7"/>
  <c r="Z106" i="7"/>
  <c r="Y106" i="7"/>
  <c r="Z100" i="7"/>
  <c r="Y100" i="7"/>
  <c r="Z97" i="7"/>
  <c r="Y97" i="7"/>
  <c r="AA3" i="7"/>
  <c r="Z3" i="7"/>
  <c r="B282" i="6"/>
  <c r="E190" i="7"/>
  <c r="F101" i="6" s="1"/>
  <c r="E188" i="7"/>
  <c r="E187" i="7"/>
  <c r="E186" i="7"/>
  <c r="E8" i="19" s="1"/>
  <c r="E177" i="7"/>
  <c r="E175" i="7"/>
  <c r="E174" i="7"/>
  <c r="E173" i="7"/>
  <c r="D8" i="19" s="1"/>
  <c r="G42" i="6"/>
  <c r="E198" i="7"/>
  <c r="F198" i="7"/>
  <c r="B8" i="19"/>
  <c r="B13" i="19"/>
  <c r="M171" i="7"/>
  <c r="B164" i="6"/>
  <c r="B101" i="6"/>
  <c r="D177" i="7"/>
  <c r="B200" i="7"/>
  <c r="B201" i="7"/>
  <c r="B203" i="7"/>
  <c r="B204" i="7"/>
  <c r="B281" i="6"/>
  <c r="B280" i="6"/>
  <c r="A122" i="6"/>
  <c r="B173" i="6"/>
  <c r="B172" i="6"/>
  <c r="O209" i="7"/>
  <c r="W208" i="7"/>
  <c r="V208" i="7"/>
  <c r="U208" i="7"/>
  <c r="T208" i="7"/>
  <c r="A164" i="6"/>
  <c r="B160" i="6"/>
  <c r="M173" i="7"/>
  <c r="E26" i="19"/>
  <c r="D26" i="19"/>
  <c r="D13" i="19" l="1"/>
  <c r="D101" i="6"/>
  <c r="D103" i="16"/>
  <c r="A205" i="6" l="1"/>
  <c r="B195" i="6"/>
  <c r="D288" i="7"/>
  <c r="B61" i="17"/>
  <c r="A60" i="17"/>
  <c r="B60" i="17"/>
  <c r="A82" i="16" l="1"/>
  <c r="A51" i="17"/>
  <c r="A231" i="6"/>
  <c r="H274" i="6"/>
  <c r="C79" i="7"/>
  <c r="F210" i="7"/>
  <c r="F209" i="7"/>
  <c r="D210" i="7"/>
  <c r="D209" i="7"/>
  <c r="D137" i="7"/>
  <c r="D140" i="7"/>
  <c r="D138" i="7"/>
  <c r="F140" i="7"/>
  <c r="F138" i="7"/>
  <c r="F137" i="7"/>
  <c r="D132" i="7"/>
  <c r="D128" i="7"/>
  <c r="F132" i="7"/>
  <c r="F128" i="7"/>
  <c r="F122" i="7"/>
  <c r="F120" i="7"/>
  <c r="F119" i="7"/>
  <c r="D122" i="7"/>
  <c r="D120" i="7"/>
  <c r="D119" i="7"/>
  <c r="D233" i="6" l="1"/>
  <c r="E199" i="6"/>
  <c r="C81" i="16" s="1"/>
  <c r="F233" i="6"/>
  <c r="G199" i="6"/>
  <c r="T92" i="7"/>
  <c r="Q92" i="7"/>
  <c r="T84" i="7"/>
  <c r="Q84" i="7"/>
  <c r="E81" i="16" l="1"/>
  <c r="F50" i="17"/>
  <c r="E50" i="17" s="1"/>
  <c r="A4" i="16"/>
  <c r="E3" i="16"/>
  <c r="C3" i="16"/>
  <c r="A5" i="16"/>
  <c r="A15" i="17"/>
  <c r="B15" i="17"/>
  <c r="A19" i="16"/>
  <c r="E7" i="16"/>
  <c r="C7" i="16"/>
  <c r="A8" i="16" l="1"/>
  <c r="D323" i="7"/>
  <c r="C323" i="7"/>
  <c r="D322" i="7"/>
  <c r="C322" i="7"/>
  <c r="D321" i="7"/>
  <c r="C321" i="7"/>
  <c r="D320" i="7"/>
  <c r="C320" i="7"/>
  <c r="D319" i="7"/>
  <c r="C319" i="7"/>
  <c r="D318" i="7"/>
  <c r="C318" i="7"/>
  <c r="C317" i="7"/>
  <c r="C316" i="7"/>
  <c r="C315" i="7"/>
  <c r="C314" i="7"/>
  <c r="C313" i="7"/>
  <c r="C312" i="7"/>
  <c r="B19" i="8" l="1"/>
  <c r="Q24" i="8" l="1"/>
  <c r="M24" i="8"/>
  <c r="I40" i="8"/>
  <c r="I39" i="8"/>
  <c r="I38" i="8"/>
  <c r="I37" i="8"/>
  <c r="I36" i="8"/>
  <c r="I35" i="8"/>
  <c r="I34" i="8"/>
  <c r="I33" i="8"/>
  <c r="I32" i="8"/>
  <c r="I31" i="8"/>
  <c r="I30" i="8"/>
  <c r="I29" i="8"/>
  <c r="T7" i="8" l="1"/>
  <c r="T6" i="8"/>
  <c r="P176" i="7" l="1"/>
  <c r="B153" i="6"/>
  <c r="B163" i="6"/>
  <c r="B152" i="6"/>
  <c r="B159" i="6"/>
  <c r="B151" i="6"/>
  <c r="B158" i="6"/>
  <c r="T180" i="7" l="1"/>
  <c r="U191" i="7"/>
  <c r="U187" i="7"/>
  <c r="U183" i="7"/>
  <c r="T190" i="7"/>
  <c r="T186" i="7"/>
  <c r="U182" i="7"/>
  <c r="T179" i="7"/>
  <c r="U190" i="7"/>
  <c r="U186" i="7"/>
  <c r="T189" i="7"/>
  <c r="T182" i="7"/>
  <c r="U193" i="7"/>
  <c r="U189" i="7"/>
  <c r="U185" i="7"/>
  <c r="T192" i="7"/>
  <c r="T184" i="7"/>
  <c r="U192" i="7"/>
  <c r="U188" i="7"/>
  <c r="U184" i="7"/>
  <c r="T191" i="7"/>
  <c r="T187" i="7"/>
  <c r="D165" i="6"/>
  <c r="P209" i="7"/>
  <c r="Q209" i="7"/>
  <c r="P208" i="7"/>
  <c r="O208" i="7"/>
  <c r="E158" i="6"/>
  <c r="T209" i="7" s="1"/>
  <c r="G158" i="6"/>
  <c r="U209" i="7" s="1"/>
  <c r="B17" i="13"/>
  <c r="B16" i="13"/>
  <c r="B15" i="13"/>
  <c r="B41" i="13"/>
  <c r="B40" i="13"/>
  <c r="B39" i="13"/>
  <c r="B38" i="13"/>
  <c r="B37" i="13"/>
  <c r="B36" i="13"/>
  <c r="B35" i="13"/>
  <c r="B34" i="13"/>
  <c r="B33" i="13"/>
  <c r="B32" i="13"/>
  <c r="B31" i="13"/>
  <c r="B30" i="13"/>
  <c r="B29" i="13"/>
  <c r="B28" i="13"/>
  <c r="B27" i="13"/>
  <c r="B26" i="13"/>
  <c r="B25" i="13"/>
  <c r="B24" i="13"/>
  <c r="B23" i="13"/>
  <c r="B22" i="13"/>
  <c r="K33" i="13"/>
  <c r="M33" i="13" s="1"/>
  <c r="K32" i="13"/>
  <c r="M32" i="13" s="1"/>
  <c r="K31" i="13"/>
  <c r="M31" i="13" s="1"/>
  <c r="K30" i="13"/>
  <c r="M30" i="13" s="1"/>
  <c r="K29" i="13"/>
  <c r="M29" i="13" s="1"/>
  <c r="K28" i="13"/>
  <c r="L28" i="13" s="1"/>
  <c r="K27" i="13"/>
  <c r="K26" i="13"/>
  <c r="L26" i="13" s="1"/>
  <c r="K25" i="13"/>
  <c r="K24" i="13"/>
  <c r="K23" i="13"/>
  <c r="K22" i="13"/>
  <c r="L15" i="13"/>
  <c r="L16" i="13"/>
  <c r="H41" i="13"/>
  <c r="H34" i="13"/>
  <c r="H27" i="13"/>
  <c r="H26" i="13"/>
  <c r="G41" i="13"/>
  <c r="G40" i="13"/>
  <c r="F41" i="13"/>
  <c r="F27" i="13"/>
  <c r="F26" i="13"/>
  <c r="E41" i="13"/>
  <c r="E40" i="13"/>
  <c r="B11" i="19"/>
  <c r="A11" i="19"/>
  <c r="B10" i="19"/>
  <c r="A10" i="19"/>
  <c r="E19" i="19"/>
  <c r="D19" i="19"/>
  <c r="E6" i="19"/>
  <c r="D6" i="19"/>
  <c r="D392" i="7"/>
  <c r="D390" i="7"/>
  <c r="D386" i="7"/>
  <c r="D385" i="7"/>
  <c r="D380" i="7"/>
  <c r="D379" i="7"/>
  <c r="F189" i="7"/>
  <c r="F176" i="7"/>
  <c r="D66" i="7"/>
  <c r="D63" i="7"/>
  <c r="D60" i="7"/>
  <c r="D58" i="7"/>
  <c r="D57" i="7"/>
  <c r="D56" i="7"/>
  <c r="D64" i="7" s="1"/>
  <c r="D50" i="7"/>
  <c r="D47" i="7"/>
  <c r="D44" i="7"/>
  <c r="D42" i="7"/>
  <c r="D41" i="7"/>
  <c r="D40" i="7"/>
  <c r="D49" i="7" s="1"/>
  <c r="F50" i="7"/>
  <c r="F47" i="7"/>
  <c r="F44" i="7"/>
  <c r="F42" i="7"/>
  <c r="F41" i="7"/>
  <c r="F40" i="7"/>
  <c r="F49" i="7" s="1"/>
  <c r="F63" i="7"/>
  <c r="F60" i="7"/>
  <c r="F58" i="7"/>
  <c r="F57" i="7"/>
  <c r="F56" i="7"/>
  <c r="F65" i="7" s="1"/>
  <c r="F66" i="7" s="1"/>
  <c r="B96" i="6"/>
  <c r="V209" i="7" l="1"/>
  <c r="W209" i="7"/>
  <c r="R209" i="7"/>
  <c r="D61" i="7"/>
  <c r="L22" i="13"/>
  <c r="L27" i="13"/>
  <c r="L29" i="13"/>
  <c r="L30" i="13"/>
  <c r="L23" i="13"/>
  <c r="L31" i="13"/>
  <c r="L24" i="13"/>
  <c r="L32" i="13"/>
  <c r="M28" i="13"/>
  <c r="L25" i="13"/>
  <c r="L33" i="13"/>
  <c r="F45" i="7"/>
  <c r="F48" i="7"/>
  <c r="D43" i="7"/>
  <c r="D48" i="7"/>
  <c r="D45" i="7"/>
  <c r="D7" i="6" s="1"/>
  <c r="D65" i="7"/>
  <c r="F61" i="7"/>
  <c r="F64" i="7"/>
  <c r="C7" i="17"/>
  <c r="C6" i="17"/>
  <c r="F2" i="6"/>
  <c r="D2" i="6"/>
  <c r="F14" i="13"/>
  <c r="E14" i="13"/>
  <c r="G21" i="13"/>
  <c r="E21" i="13"/>
  <c r="C53" i="16"/>
  <c r="A52" i="16"/>
  <c r="A51" i="16"/>
  <c r="A50" i="16"/>
  <c r="A47" i="16"/>
  <c r="A46" i="16"/>
  <c r="A45" i="16"/>
  <c r="A44" i="16"/>
  <c r="B53" i="16"/>
  <c r="B52" i="16"/>
  <c r="B51" i="16"/>
  <c r="B47" i="16"/>
  <c r="B46" i="16"/>
  <c r="B45" i="16"/>
  <c r="B44" i="16"/>
  <c r="J27" i="16"/>
  <c r="I27" i="16"/>
  <c r="D101" i="16"/>
  <c r="B101" i="16"/>
  <c r="A101" i="16"/>
  <c r="E43" i="16"/>
  <c r="E65" i="16"/>
  <c r="E75" i="16"/>
  <c r="E92" i="16"/>
  <c r="C92" i="16"/>
  <c r="C75" i="16"/>
  <c r="C65" i="16"/>
  <c r="C43" i="16"/>
  <c r="W3" i="7"/>
  <c r="V3" i="7"/>
  <c r="K16" i="13"/>
  <c r="K15" i="13"/>
  <c r="G29" i="13"/>
  <c r="E29" i="13"/>
  <c r="C56" i="16"/>
  <c r="A53" i="16"/>
  <c r="F40" i="16"/>
  <c r="M27" i="13" l="1"/>
  <c r="M26" i="13"/>
  <c r="M25" i="13"/>
  <c r="M24" i="13"/>
  <c r="M22" i="13"/>
  <c r="M23" i="13"/>
  <c r="F36" i="16"/>
  <c r="B37" i="16"/>
  <c r="A37" i="16"/>
  <c r="D36" i="16"/>
  <c r="B36" i="16"/>
  <c r="A36" i="16"/>
  <c r="B34" i="16" l="1"/>
  <c r="A34" i="16"/>
  <c r="B33" i="16"/>
  <c r="A33" i="16"/>
  <c r="B31" i="16"/>
  <c r="A31" i="16"/>
  <c r="B29" i="16"/>
  <c r="A29" i="16"/>
  <c r="B28" i="16"/>
  <c r="A28" i="16"/>
  <c r="F30" i="16"/>
  <c r="D30" i="16"/>
  <c r="E27" i="16"/>
  <c r="C27" i="16"/>
  <c r="E180" i="6" l="1"/>
  <c r="H31" i="6"/>
  <c r="D85" i="7"/>
  <c r="B205" i="6"/>
  <c r="B82" i="16" s="1"/>
  <c r="H13" i="6"/>
  <c r="S83" i="7"/>
  <c r="S91" i="7"/>
  <c r="S116" i="7"/>
  <c r="S125" i="7"/>
  <c r="S135" i="7"/>
  <c r="S145" i="7"/>
  <c r="S144" i="7"/>
  <c r="B373" i="7"/>
  <c r="D311" i="7"/>
  <c r="O294" i="7"/>
  <c r="D294" i="7"/>
  <c r="D285" i="7"/>
  <c r="D279" i="7"/>
  <c r="D267" i="7"/>
  <c r="D257" i="7"/>
  <c r="D246" i="7"/>
  <c r="D239" i="7"/>
  <c r="D232" i="7"/>
  <c r="D229" i="7"/>
  <c r="D226" i="7"/>
  <c r="R208" i="7"/>
  <c r="E206" i="7"/>
  <c r="F202" i="7"/>
  <c r="E182" i="7"/>
  <c r="Q181" i="7"/>
  <c r="F169" i="7"/>
  <c r="E154" i="7"/>
  <c r="E148" i="7"/>
  <c r="E143" i="7"/>
  <c r="R143" i="7"/>
  <c r="E134" i="7"/>
  <c r="U134" i="7"/>
  <c r="R134" i="7"/>
  <c r="E125" i="7"/>
  <c r="U124" i="7"/>
  <c r="R124" i="7"/>
  <c r="E116" i="7"/>
  <c r="U115" i="7"/>
  <c r="R115" i="7"/>
  <c r="X106" i="7"/>
  <c r="V106" i="7"/>
  <c r="U106" i="7"/>
  <c r="R106" i="7"/>
  <c r="E105" i="7"/>
  <c r="X97" i="7"/>
  <c r="V97" i="7"/>
  <c r="U97" i="7"/>
  <c r="R97" i="7"/>
  <c r="E94" i="7"/>
  <c r="V88" i="7"/>
  <c r="U88" i="7"/>
  <c r="R88" i="7"/>
  <c r="E83" i="7"/>
  <c r="V80" i="7"/>
  <c r="U80" i="7"/>
  <c r="R80" i="7"/>
  <c r="E76" i="7"/>
  <c r="R55" i="7"/>
  <c r="E53" i="7"/>
  <c r="E37" i="7"/>
  <c r="R37" i="7"/>
  <c r="E31" i="7"/>
  <c r="R30" i="7"/>
  <c r="E24" i="7"/>
  <c r="R22" i="7"/>
  <c r="R15" i="7"/>
  <c r="X3" i="7"/>
  <c r="U3" i="7"/>
  <c r="R3" i="7"/>
  <c r="T3" i="7"/>
  <c r="N3" i="7"/>
  <c r="B350" i="7"/>
  <c r="C311" i="7"/>
  <c r="N294" i="7"/>
  <c r="C294" i="7"/>
  <c r="C285" i="7"/>
  <c r="C279" i="7"/>
  <c r="C267" i="7"/>
  <c r="C257" i="7"/>
  <c r="C246" i="7"/>
  <c r="C239" i="7"/>
  <c r="C232" i="7"/>
  <c r="C229" i="7"/>
  <c r="C226" i="7"/>
  <c r="Q208" i="7"/>
  <c r="C206" i="7"/>
  <c r="E202" i="7"/>
  <c r="F182" i="7"/>
  <c r="P181" i="7"/>
  <c r="E169" i="7"/>
  <c r="D154" i="7"/>
  <c r="D148" i="7"/>
  <c r="D143" i="7"/>
  <c r="Q143" i="7"/>
  <c r="C134" i="7"/>
  <c r="T134" i="7"/>
  <c r="Q134" i="7"/>
  <c r="C125" i="7"/>
  <c r="T124" i="7"/>
  <c r="Q124" i="7"/>
  <c r="C116" i="7"/>
  <c r="T115" i="7"/>
  <c r="Q115" i="7"/>
  <c r="W106" i="7"/>
  <c r="T106" i="7"/>
  <c r="Q106" i="7"/>
  <c r="C105" i="7"/>
  <c r="W97" i="7"/>
  <c r="T97" i="7"/>
  <c r="Q97" i="7"/>
  <c r="C94" i="7"/>
  <c r="T88" i="7"/>
  <c r="Q88" i="7"/>
  <c r="C83" i="7"/>
  <c r="T80" i="7"/>
  <c r="Q80" i="7"/>
  <c r="C76" i="7"/>
  <c r="Q55" i="7"/>
  <c r="C53" i="7"/>
  <c r="C37" i="7"/>
  <c r="Q37" i="7"/>
  <c r="C31" i="7"/>
  <c r="Q30" i="7"/>
  <c r="C24" i="7"/>
  <c r="Q22" i="7"/>
  <c r="Q15" i="7"/>
  <c r="B21" i="7"/>
  <c r="G113" i="6"/>
  <c r="G116" i="6" s="1"/>
  <c r="E113" i="6"/>
  <c r="E116" i="6" s="1"/>
  <c r="G163" i="6"/>
  <c r="G166" i="6" s="1"/>
  <c r="F127" i="6"/>
  <c r="D127" i="6"/>
  <c r="F201" i="6"/>
  <c r="B207" i="6"/>
  <c r="B84" i="16" s="1"/>
  <c r="A207" i="6"/>
  <c r="B211" i="6"/>
  <c r="A239" i="6"/>
  <c r="B210" i="6"/>
  <c r="B209" i="6"/>
  <c r="B85" i="16" s="1"/>
  <c r="A209" i="6"/>
  <c r="B206" i="6"/>
  <c r="B83" i="16" s="1"/>
  <c r="A206" i="6"/>
  <c r="A196" i="6"/>
  <c r="A195" i="6"/>
  <c r="B196" i="6"/>
  <c r="G165" i="6"/>
  <c r="F165" i="6"/>
  <c r="E165" i="6"/>
  <c r="A160" i="6"/>
  <c r="B122" i="6"/>
  <c r="F307" i="7"/>
  <c r="A85" i="16" l="1"/>
  <c r="A54" i="17"/>
  <c r="A84" i="16"/>
  <c r="A53" i="17"/>
  <c r="B239" i="6"/>
  <c r="B87" i="16"/>
  <c r="A52" i="17"/>
  <c r="A83" i="16"/>
  <c r="B238" i="6"/>
  <c r="B86" i="16"/>
  <c r="A237" i="6"/>
  <c r="B231" i="6"/>
  <c r="B51" i="17"/>
  <c r="B237" i="6"/>
  <c r="B54" i="17"/>
  <c r="A235" i="6"/>
  <c r="A234" i="6"/>
  <c r="A46" i="17" s="1"/>
  <c r="B235" i="6"/>
  <c r="B53" i="17"/>
  <c r="B234" i="6"/>
  <c r="B46" i="17" s="1"/>
  <c r="B52" i="17"/>
  <c r="U211" i="7"/>
  <c r="W211" i="7" s="1"/>
  <c r="P179" i="7"/>
  <c r="E167" i="7"/>
  <c r="Q179" i="7"/>
  <c r="F167" i="7"/>
  <c r="F66" i="6"/>
  <c r="F17" i="17" s="1"/>
  <c r="F47" i="6"/>
  <c r="F49" i="6"/>
  <c r="D49" i="6"/>
  <c r="D47" i="6"/>
  <c r="D91" i="7"/>
  <c r="D90" i="7"/>
  <c r="D89" i="7"/>
  <c r="D88" i="7"/>
  <c r="D87" i="7"/>
  <c r="D86" i="7"/>
  <c r="D92" i="7"/>
  <c r="D103" i="7"/>
  <c r="D102" i="7"/>
  <c r="D101" i="7"/>
  <c r="D100" i="7"/>
  <c r="D99" i="7"/>
  <c r="D98" i="7"/>
  <c r="D97" i="7"/>
  <c r="D96" i="7"/>
  <c r="F103" i="7"/>
  <c r="F102" i="7"/>
  <c r="F101" i="7"/>
  <c r="F100" i="7"/>
  <c r="F99" i="7"/>
  <c r="F98" i="7"/>
  <c r="F97" i="7"/>
  <c r="F96" i="7"/>
  <c r="F92" i="7"/>
  <c r="F114" i="7" s="1"/>
  <c r="F91" i="7"/>
  <c r="F113" i="7" s="1"/>
  <c r="F90" i="7"/>
  <c r="F112" i="7" s="1"/>
  <c r="F89" i="7"/>
  <c r="F111" i="7" s="1"/>
  <c r="F88" i="7"/>
  <c r="F87" i="7"/>
  <c r="F109" i="7" s="1"/>
  <c r="F86" i="7"/>
  <c r="F85" i="7"/>
  <c r="F107" i="7" s="1"/>
  <c r="A124" i="6"/>
  <c r="B124" i="6"/>
  <c r="V188" i="7"/>
  <c r="X188" i="7"/>
  <c r="Z188" i="7"/>
  <c r="T188" i="7" s="1"/>
  <c r="AB188" i="7"/>
  <c r="S182" i="7"/>
  <c r="B102" i="16"/>
  <c r="A282" i="6"/>
  <c r="A102" i="16" s="1"/>
  <c r="B90" i="6"/>
  <c r="B49" i="16" s="1"/>
  <c r="B89" i="6"/>
  <c r="B48" i="16" s="1"/>
  <c r="B95" i="6"/>
  <c r="B98" i="6"/>
  <c r="B99" i="6"/>
  <c r="B114" i="6"/>
  <c r="A114" i="6"/>
  <c r="A90" i="6"/>
  <c r="A49" i="16" s="1"/>
  <c r="A89" i="6"/>
  <c r="A48" i="16" s="1"/>
  <c r="A99" i="6"/>
  <c r="A98" i="6"/>
  <c r="A95" i="6"/>
  <c r="S192" i="7"/>
  <c r="S191" i="7"/>
  <c r="S190" i="7"/>
  <c r="S186" i="7"/>
  <c r="S193" i="7"/>
  <c r="S185" i="7"/>
  <c r="S184" i="7"/>
  <c r="S189" i="7"/>
  <c r="S188" i="7"/>
  <c r="S183" i="7"/>
  <c r="S187" i="7"/>
  <c r="AB193" i="7"/>
  <c r="AB185" i="7"/>
  <c r="Z193" i="7"/>
  <c r="T193" i="7" s="1"/>
  <c r="Z185" i="7"/>
  <c r="T185" i="7" s="1"/>
  <c r="X193" i="7"/>
  <c r="X185" i="7"/>
  <c r="V193" i="7"/>
  <c r="V185" i="7"/>
  <c r="AB183" i="7"/>
  <c r="Z183" i="7"/>
  <c r="T183" i="7" s="1"/>
  <c r="X183" i="7"/>
  <c r="V183" i="7"/>
  <c r="P169" i="7"/>
  <c r="P167" i="7"/>
  <c r="R3" i="9"/>
  <c r="R2" i="9"/>
  <c r="D66" i="6"/>
  <c r="E130" i="7"/>
  <c r="F130" i="7" s="1"/>
  <c r="F7" i="6" s="1"/>
  <c r="C130" i="7"/>
  <c r="D130" i="7" s="1"/>
  <c r="B136" i="6"/>
  <c r="E193" i="7" l="1"/>
  <c r="D220" i="6" s="1"/>
  <c r="F37" i="6"/>
  <c r="F230" i="6"/>
  <c r="G230" i="6" s="1"/>
  <c r="G197" i="6"/>
  <c r="B195" i="7"/>
  <c r="F108" i="7"/>
  <c r="F30" i="6" s="1"/>
  <c r="P188" i="7"/>
  <c r="D10" i="19" s="1"/>
  <c r="D88" i="6"/>
  <c r="F88" i="6"/>
  <c r="F1" i="6"/>
  <c r="D9" i="19"/>
  <c r="D1" i="6"/>
  <c r="T2" i="7"/>
  <c r="U2" i="7"/>
  <c r="A20" i="17"/>
  <c r="B21" i="17"/>
  <c r="A21" i="17"/>
  <c r="B20" i="17"/>
  <c r="F110" i="7"/>
  <c r="A54" i="16"/>
  <c r="B54" i="16"/>
  <c r="B42" i="13"/>
  <c r="D176" i="7"/>
  <c r="D109" i="7"/>
  <c r="D110" i="7"/>
  <c r="D111" i="7"/>
  <c r="D107" i="7"/>
  <c r="D114" i="7"/>
  <c r="D108" i="7"/>
  <c r="D113" i="7"/>
  <c r="D37" i="6" s="1"/>
  <c r="D112" i="7"/>
  <c r="D93" i="6"/>
  <c r="E93" i="6"/>
  <c r="F93" i="6"/>
  <c r="G93" i="6"/>
  <c r="T178" i="7"/>
  <c r="P189" i="7"/>
  <c r="B49" i="7"/>
  <c r="B65" i="7"/>
  <c r="B392" i="7"/>
  <c r="B390" i="7"/>
  <c r="B387" i="7"/>
  <c r="B386" i="7"/>
  <c r="B381" i="7"/>
  <c r="B380" i="7"/>
  <c r="B369" i="7"/>
  <c r="B367" i="7"/>
  <c r="B364" i="7"/>
  <c r="B363" i="7"/>
  <c r="B358" i="7"/>
  <c r="B357" i="7"/>
  <c r="H347" i="7"/>
  <c r="H346" i="7"/>
  <c r="H345" i="7"/>
  <c r="H344" i="7"/>
  <c r="H342" i="7"/>
  <c r="H341" i="7"/>
  <c r="H340" i="7"/>
  <c r="H338" i="7"/>
  <c r="H337" i="7"/>
  <c r="H336" i="7"/>
  <c r="H334" i="7"/>
  <c r="H333" i="7"/>
  <c r="H332" i="7"/>
  <c r="I324" i="7"/>
  <c r="I323" i="7" s="1"/>
  <c r="J323" i="7" s="1"/>
  <c r="E323" i="7"/>
  <c r="B323" i="7"/>
  <c r="E322" i="7"/>
  <c r="B322" i="7"/>
  <c r="E321" i="7"/>
  <c r="B321" i="7"/>
  <c r="E320" i="7"/>
  <c r="B320" i="7"/>
  <c r="E319" i="7"/>
  <c r="B319" i="7"/>
  <c r="E318" i="7"/>
  <c r="B318" i="7"/>
  <c r="E317" i="7"/>
  <c r="D317" i="7" s="1"/>
  <c r="B317" i="7"/>
  <c r="E316" i="7"/>
  <c r="D316" i="7" s="1"/>
  <c r="B316" i="7"/>
  <c r="E315" i="7"/>
  <c r="D315" i="7" s="1"/>
  <c r="B315" i="7"/>
  <c r="E314" i="7"/>
  <c r="D314" i="7" s="1"/>
  <c r="B314" i="7"/>
  <c r="D313" i="7"/>
  <c r="B313" i="7"/>
  <c r="E312" i="7"/>
  <c r="D312" i="7" s="1"/>
  <c r="B312" i="7"/>
  <c r="E311" i="7"/>
  <c r="D307" i="7"/>
  <c r="C307" i="7"/>
  <c r="E286" i="7"/>
  <c r="E281" i="7"/>
  <c r="C9" i="8" s="1"/>
  <c r="B281" i="7"/>
  <c r="E280" i="7"/>
  <c r="C10" i="8" s="1"/>
  <c r="B280" i="7"/>
  <c r="E263" i="7"/>
  <c r="B263" i="7" s="1"/>
  <c r="E262" i="7"/>
  <c r="B262" i="7" s="1"/>
  <c r="E261" i="7"/>
  <c r="B261" i="7" s="1"/>
  <c r="E260" i="7"/>
  <c r="B260" i="7" s="1"/>
  <c r="E259" i="7"/>
  <c r="B259" i="7" s="1"/>
  <c r="E253" i="7"/>
  <c r="B253" i="7" s="1"/>
  <c r="E252" i="7"/>
  <c r="B252" i="7" s="1"/>
  <c r="E251" i="7"/>
  <c r="B251" i="7" s="1"/>
  <c r="E250" i="7"/>
  <c r="B250" i="7" s="1"/>
  <c r="E249" i="7"/>
  <c r="B249" i="7" s="1"/>
  <c r="E248" i="7"/>
  <c r="B248" i="7" s="1"/>
  <c r="D241" i="7"/>
  <c r="C241" i="7"/>
  <c r="E211" i="7"/>
  <c r="C211" i="7"/>
  <c r="E208" i="7"/>
  <c r="C208" i="7"/>
  <c r="D189" i="7"/>
  <c r="D187" i="7"/>
  <c r="B183" i="7"/>
  <c r="M172" i="7"/>
  <c r="D174" i="7"/>
  <c r="E160" i="7"/>
  <c r="D160" i="7"/>
  <c r="E151" i="7"/>
  <c r="D151" i="7"/>
  <c r="C139" i="7"/>
  <c r="E136" i="7"/>
  <c r="C136" i="7"/>
  <c r="C131" i="7"/>
  <c r="E127" i="7"/>
  <c r="C127" i="7"/>
  <c r="E121" i="7"/>
  <c r="C121" i="7"/>
  <c r="E118" i="7"/>
  <c r="C118" i="7"/>
  <c r="E114" i="7"/>
  <c r="C114" i="7"/>
  <c r="E113" i="7"/>
  <c r="C113" i="7"/>
  <c r="E112" i="7"/>
  <c r="C112" i="7"/>
  <c r="E111" i="7"/>
  <c r="C111" i="7"/>
  <c r="E110" i="7"/>
  <c r="C110" i="7"/>
  <c r="E109" i="7"/>
  <c r="C109" i="7"/>
  <c r="E108" i="7"/>
  <c r="C108" i="7"/>
  <c r="E107" i="7"/>
  <c r="C107" i="7"/>
  <c r="E79" i="7"/>
  <c r="F79" i="7" s="1"/>
  <c r="F17" i="6" s="1"/>
  <c r="D79" i="7"/>
  <c r="D17" i="6" s="1"/>
  <c r="E59" i="7"/>
  <c r="C59" i="7"/>
  <c r="E55" i="7"/>
  <c r="E95" i="7" s="1"/>
  <c r="C55" i="7"/>
  <c r="C95" i="7" s="1"/>
  <c r="E70" i="7"/>
  <c r="C70" i="7"/>
  <c r="C17" i="7"/>
  <c r="B270" i="7" l="1"/>
  <c r="C6" i="8"/>
  <c r="M201" i="7"/>
  <c r="M104" i="7"/>
  <c r="M72" i="7"/>
  <c r="L20" i="7"/>
  <c r="M150" i="7"/>
  <c r="M94" i="7"/>
  <c r="M67" i="7"/>
  <c r="L14" i="7"/>
  <c r="M132" i="7"/>
  <c r="M123" i="7"/>
  <c r="M79" i="7"/>
  <c r="L36" i="7"/>
  <c r="M207" i="7"/>
  <c r="M141" i="7"/>
  <c r="M113" i="7"/>
  <c r="M87" i="7"/>
  <c r="L28" i="7"/>
  <c r="G200" i="6"/>
  <c r="F48" i="17"/>
  <c r="E48" i="17" s="1"/>
  <c r="E79" i="16"/>
  <c r="E7" i="19"/>
  <c r="F220" i="6"/>
  <c r="D7" i="19"/>
  <c r="B215" i="7"/>
  <c r="B271" i="7"/>
  <c r="E189" i="7"/>
  <c r="F97" i="6" s="1"/>
  <c r="D230" i="6"/>
  <c r="E230" i="6" s="1"/>
  <c r="E197" i="6"/>
  <c r="E200" i="6" s="1"/>
  <c r="E176" i="7"/>
  <c r="D97" i="6" s="1"/>
  <c r="E13" i="19"/>
  <c r="D70" i="6"/>
  <c r="H277" i="6"/>
  <c r="N301" i="7"/>
  <c r="J13" i="8" s="1"/>
  <c r="O301" i="7"/>
  <c r="K13" i="8" s="1"/>
  <c r="B157" i="6"/>
  <c r="D99" i="6"/>
  <c r="B180" i="7"/>
  <c r="L204" i="7"/>
  <c r="D72" i="6"/>
  <c r="E9" i="19"/>
  <c r="B275" i="7"/>
  <c r="R58" i="7"/>
  <c r="Q58" i="7"/>
  <c r="R56" i="7"/>
  <c r="F38" i="17" s="1"/>
  <c r="Q56" i="7"/>
  <c r="N6" i="7"/>
  <c r="R6" i="7"/>
  <c r="B221" i="7"/>
  <c r="B201" i="6" s="1"/>
  <c r="D8" i="6"/>
  <c r="D30" i="6"/>
  <c r="D98" i="6"/>
  <c r="P192" i="7"/>
  <c r="P190" i="7"/>
  <c r="D211" i="6" s="1"/>
  <c r="P187" i="7"/>
  <c r="C49" i="16" s="1"/>
  <c r="P193" i="7"/>
  <c r="D164" i="6" s="1"/>
  <c r="D161" i="6" s="1"/>
  <c r="P191" i="7"/>
  <c r="D11" i="19" s="1"/>
  <c r="Q191" i="7"/>
  <c r="E11" i="19" s="1"/>
  <c r="Q190" i="7"/>
  <c r="F211" i="6" s="1"/>
  <c r="Q192" i="7"/>
  <c r="Q193" i="7"/>
  <c r="Q187" i="7"/>
  <c r="E49" i="16" s="1"/>
  <c r="Q188" i="7"/>
  <c r="E10" i="19" s="1"/>
  <c r="Q189" i="7"/>
  <c r="B286" i="7"/>
  <c r="B216" i="7"/>
  <c r="I318" i="7"/>
  <c r="J318" i="7" s="1"/>
  <c r="I313" i="7"/>
  <c r="J313" i="7" s="1"/>
  <c r="I315" i="7"/>
  <c r="J315" i="7" s="1"/>
  <c r="I317" i="7"/>
  <c r="J317" i="7" s="1"/>
  <c r="I322" i="7"/>
  <c r="J322" i="7" s="1"/>
  <c r="I314" i="7"/>
  <c r="J314" i="7" s="1"/>
  <c r="I319" i="7"/>
  <c r="J319" i="7" s="1"/>
  <c r="I321" i="7"/>
  <c r="J321" i="7" s="1"/>
  <c r="D211" i="7"/>
  <c r="D221" i="6" s="1"/>
  <c r="E221" i="6" s="1"/>
  <c r="F211" i="7"/>
  <c r="F221" i="6" s="1"/>
  <c r="G221" i="6" s="1"/>
  <c r="D59" i="7"/>
  <c r="D121" i="7"/>
  <c r="F139" i="7"/>
  <c r="F121" i="7"/>
  <c r="F198" i="6" s="1"/>
  <c r="E131" i="7"/>
  <c r="F59" i="7"/>
  <c r="D139" i="7"/>
  <c r="F131" i="7"/>
  <c r="F16" i="6" s="1"/>
  <c r="I312" i="7"/>
  <c r="J312" i="7" s="1"/>
  <c r="I316" i="7"/>
  <c r="J316" i="7" s="1"/>
  <c r="I320" i="7"/>
  <c r="J320" i="7" s="1"/>
  <c r="L13" i="8" l="1"/>
  <c r="F20" i="6"/>
  <c r="F199" i="6"/>
  <c r="D20" i="6"/>
  <c r="D199" i="6"/>
  <c r="D198" i="6"/>
  <c r="D15" i="6"/>
  <c r="D197" i="6"/>
  <c r="C79" i="16"/>
  <c r="G42" i="13"/>
  <c r="F102" i="16"/>
  <c r="E42" i="13"/>
  <c r="D282" i="6"/>
  <c r="F21" i="17"/>
  <c r="G21" i="17" s="1"/>
  <c r="F164" i="6"/>
  <c r="F161" i="6" s="1"/>
  <c r="N300" i="7"/>
  <c r="O300" i="7"/>
  <c r="C54" i="16"/>
  <c r="D102" i="16"/>
  <c r="F99" i="6"/>
  <c r="F15" i="6"/>
  <c r="F282" i="6"/>
  <c r="F284" i="6" s="1"/>
  <c r="F98" i="6"/>
  <c r="D131" i="7"/>
  <c r="D16" i="6" s="1"/>
  <c r="D90" i="6"/>
  <c r="F90" i="6"/>
  <c r="D67" i="7"/>
  <c r="D72" i="7" s="1"/>
  <c r="E21" i="17" l="1"/>
  <c r="E53" i="16"/>
  <c r="C29" i="7"/>
  <c r="N39" i="7"/>
  <c r="P38" i="7"/>
  <c r="S38" i="7" s="1"/>
  <c r="D166" i="6" l="1"/>
  <c r="O211" i="7" s="1"/>
  <c r="P39" i="7"/>
  <c r="S39" i="7" s="1"/>
  <c r="N40" i="7"/>
  <c r="I26" i="8"/>
  <c r="Q211" i="7" l="1"/>
  <c r="P40" i="7"/>
  <c r="S40" i="7" s="1"/>
  <c r="N41" i="7"/>
  <c r="P41" i="7" l="1"/>
  <c r="S41" i="7" s="1"/>
  <c r="N42" i="7"/>
  <c r="H10" i="8"/>
  <c r="H9" i="8"/>
  <c r="H8" i="8"/>
  <c r="H7" i="8"/>
  <c r="P42" i="7" l="1"/>
  <c r="S42" i="7" s="1"/>
  <c r="N43" i="7"/>
  <c r="O314" i="7"/>
  <c r="N314" i="7"/>
  <c r="P43" i="7" l="1"/>
  <c r="S43" i="7" s="1"/>
  <c r="N44" i="7"/>
  <c r="B49" i="6"/>
  <c r="B47" i="6"/>
  <c r="F9" i="6"/>
  <c r="F8" i="6"/>
  <c r="F11" i="6"/>
  <c r="D9" i="6"/>
  <c r="D43" i="6"/>
  <c r="F28" i="7"/>
  <c r="F27" i="7"/>
  <c r="D28" i="7"/>
  <c r="D27" i="7"/>
  <c r="F16" i="17"/>
  <c r="E39" i="7"/>
  <c r="E84" i="7" s="1"/>
  <c r="C39" i="7"/>
  <c r="C84" i="7" s="1"/>
  <c r="D33" i="7"/>
  <c r="E43" i="7"/>
  <c r="C43" i="7"/>
  <c r="D10" i="6" l="1"/>
  <c r="F10" i="6"/>
  <c r="P44" i="7"/>
  <c r="S44" i="7" s="1"/>
  <c r="F19" i="6"/>
  <c r="D6" i="6"/>
  <c r="F43" i="7"/>
  <c r="F6" i="6" l="1"/>
  <c r="D11" i="6"/>
  <c r="F51" i="7"/>
  <c r="F71" i="7" s="1"/>
  <c r="D205" i="6" l="1"/>
  <c r="D51" i="7"/>
  <c r="D71" i="7" s="1"/>
  <c r="D73" i="7" s="1"/>
  <c r="D3" i="17"/>
  <c r="G3" i="17"/>
  <c r="I3" i="16"/>
  <c r="I5" i="16"/>
  <c r="D12" i="6" l="1"/>
  <c r="F19" i="17"/>
  <c r="E83" i="6" l="1"/>
  <c r="E86" i="6" s="1"/>
  <c r="F25" i="13" s="1"/>
  <c r="G83" i="6"/>
  <c r="G86" i="6" s="1"/>
  <c r="H25" i="13" s="1"/>
  <c r="G180" i="6"/>
  <c r="F281" i="6"/>
  <c r="F280" i="6"/>
  <c r="D84" i="6" s="1"/>
  <c r="D281" i="6"/>
  <c r="D280" i="6"/>
  <c r="D100" i="6" l="1"/>
  <c r="D180" i="6" s="1"/>
  <c r="D208" i="6"/>
  <c r="F100" i="6" l="1"/>
  <c r="F180" i="6" s="1"/>
  <c r="F84" i="6"/>
  <c r="F208" i="6" s="1"/>
  <c r="F86" i="6" l="1"/>
  <c r="F237" i="6" s="1"/>
  <c r="F122" i="6"/>
  <c r="C2" i="18"/>
  <c r="G3" i="13"/>
  <c r="F209" i="6" l="1"/>
  <c r="F54" i="17" s="1"/>
  <c r="E54" i="17" s="1"/>
  <c r="F123" i="6"/>
  <c r="G25" i="13"/>
  <c r="E47" i="16"/>
  <c r="P301" i="7"/>
  <c r="D29" i="8"/>
  <c r="N297" i="7"/>
  <c r="J9" i="8" s="1"/>
  <c r="E29" i="8" l="1"/>
  <c r="O297" i="7"/>
  <c r="D35" i="7"/>
  <c r="P297" i="7" l="1"/>
  <c r="K9" i="8"/>
  <c r="L9" i="8" s="1"/>
  <c r="P16" i="7" l="1"/>
  <c r="S16" i="7" s="1"/>
  <c r="M17" i="7"/>
  <c r="P50" i="7"/>
  <c r="M51" i="7"/>
  <c r="S51" i="7" s="1"/>
  <c r="M50" i="7"/>
  <c r="P31" i="7"/>
  <c r="S31" i="7" s="1"/>
  <c r="M32" i="7"/>
  <c r="M33" i="7"/>
  <c r="P23" i="7"/>
  <c r="S23" i="7" s="1"/>
  <c r="P24" i="7"/>
  <c r="M25" i="7"/>
  <c r="M24" i="7"/>
  <c r="P32" i="7"/>
  <c r="S50" i="7" l="1"/>
  <c r="S24" i="7"/>
  <c r="S32" i="7"/>
  <c r="C354" i="7"/>
  <c r="B362" i="7" s="1"/>
  <c r="C355" i="7"/>
  <c r="P33" i="7"/>
  <c r="S33" i="7"/>
  <c r="P25" i="7"/>
  <c r="S25" i="7"/>
  <c r="S17" i="7"/>
  <c r="C377" i="7"/>
  <c r="B385" i="7" s="1"/>
  <c r="C378" i="7"/>
  <c r="F274" i="6"/>
  <c r="D274" i="6"/>
  <c r="B379" i="7" l="1"/>
  <c r="B384" i="7"/>
  <c r="B361" i="7"/>
  <c r="B356" i="7"/>
  <c r="M154" i="7" l="1"/>
  <c r="M155" i="7"/>
  <c r="M156" i="7"/>
  <c r="M157" i="7"/>
  <c r="M158" i="7"/>
  <c r="D172" i="7" l="1"/>
  <c r="E172" i="7" s="1"/>
  <c r="D185" i="7"/>
  <c r="E185" i="7" s="1"/>
  <c r="A97" i="16"/>
  <c r="B97" i="16"/>
  <c r="A96" i="16"/>
  <c r="B96" i="16"/>
  <c r="C97" i="16"/>
  <c r="C96" i="16"/>
  <c r="E97" i="16"/>
  <c r="E96" i="16"/>
  <c r="D236" i="7" l="1"/>
  <c r="D94" i="6"/>
  <c r="C236" i="7"/>
  <c r="F94" i="6"/>
  <c r="P168" i="7"/>
  <c r="G278" i="6"/>
  <c r="H40" i="13" s="1"/>
  <c r="E278" i="6"/>
  <c r="F40" i="13" s="1"/>
  <c r="F96" i="6" l="1"/>
  <c r="P184" i="7"/>
  <c r="D114" i="6" s="1"/>
  <c r="P182" i="7"/>
  <c r="C48" i="16" s="1"/>
  <c r="P183" i="7"/>
  <c r="P185" i="7"/>
  <c r="D160" i="6" s="1"/>
  <c r="P186" i="7"/>
  <c r="Q185" i="7"/>
  <c r="Q186" i="7"/>
  <c r="Q183" i="7"/>
  <c r="Q184" i="7"/>
  <c r="Q182" i="7"/>
  <c r="E48" i="16" l="1"/>
  <c r="F89" i="6"/>
  <c r="F91" i="6" s="1"/>
  <c r="F210" i="6"/>
  <c r="D210" i="6"/>
  <c r="F20" i="17"/>
  <c r="G20" i="17" s="1"/>
  <c r="F114" i="6"/>
  <c r="D95" i="6"/>
  <c r="D89" i="6"/>
  <c r="F160" i="6"/>
  <c r="F95" i="6"/>
  <c r="M194" i="7"/>
  <c r="E71" i="16"/>
  <c r="C71" i="16"/>
  <c r="E56" i="16"/>
  <c r="A95" i="16"/>
  <c r="A94" i="16"/>
  <c r="A93" i="16"/>
  <c r="B93" i="16"/>
  <c r="B95" i="16"/>
  <c r="B94" i="16"/>
  <c r="A73" i="16"/>
  <c r="A72" i="16"/>
  <c r="A60" i="16"/>
  <c r="A59" i="16"/>
  <c r="B73" i="16"/>
  <c r="D91" i="6" l="1"/>
  <c r="D124" i="6" s="1"/>
  <c r="F124" i="6"/>
  <c r="F102" i="6"/>
  <c r="D96" i="6"/>
  <c r="D102" i="6" s="1"/>
  <c r="O210" i="7"/>
  <c r="Q210" i="7" s="1"/>
  <c r="Q212" i="7" s="1"/>
  <c r="D168" i="6"/>
  <c r="D169" i="6" s="1"/>
  <c r="G26" i="13"/>
  <c r="E20" i="17"/>
  <c r="F45" i="17"/>
  <c r="E45" i="17" s="1"/>
  <c r="A59" i="17"/>
  <c r="B59" i="17"/>
  <c r="A33" i="17"/>
  <c r="A7" i="17"/>
  <c r="A6" i="17"/>
  <c r="A23" i="17"/>
  <c r="E26" i="13" l="1"/>
  <c r="F138" i="6"/>
  <c r="F139" i="6" s="1"/>
  <c r="E20" i="19" s="1"/>
  <c r="E21" i="19" s="1"/>
  <c r="D138" i="6"/>
  <c r="D139" i="6" s="1"/>
  <c r="D20" i="19" s="1"/>
  <c r="D21" i="19" s="1"/>
  <c r="D172" i="6"/>
  <c r="D171" i="6"/>
  <c r="O212" i="7"/>
  <c r="G27" i="13"/>
  <c r="B66" i="17"/>
  <c r="A45" i="17"/>
  <c r="F39" i="17"/>
  <c r="A42" i="17"/>
  <c r="A41" i="17"/>
  <c r="A40" i="17"/>
  <c r="B42" i="17"/>
  <c r="B39" i="17"/>
  <c r="B38" i="17"/>
  <c r="B37" i="17"/>
  <c r="B36" i="17"/>
  <c r="A30" i="17"/>
  <c r="A29" i="17"/>
  <c r="A28" i="17"/>
  <c r="B28" i="17"/>
  <c r="B24" i="17"/>
  <c r="A24" i="17"/>
  <c r="B23" i="17"/>
  <c r="B19" i="17"/>
  <c r="A16" i="17"/>
  <c r="B16" i="17"/>
  <c r="A17" i="17"/>
  <c r="B17" i="17"/>
  <c r="A18" i="17"/>
  <c r="B18" i="17"/>
  <c r="A19" i="17"/>
  <c r="D173" i="6" l="1"/>
  <c r="D175" i="6" s="1"/>
  <c r="E33" i="13"/>
  <c r="E39" i="17"/>
  <c r="B12" i="17"/>
  <c r="B10" i="17"/>
  <c r="D7" i="17"/>
  <c r="D6" i="17"/>
  <c r="B12" i="8"/>
  <c r="E12" i="8"/>
  <c r="B663" i="6" l="1"/>
  <c r="D176" i="6"/>
  <c r="E51" i="16"/>
  <c r="B50" i="16"/>
  <c r="C6" i="7" l="1"/>
  <c r="M129" i="7" l="1"/>
  <c r="M128" i="7"/>
  <c r="M127" i="7"/>
  <c r="M126" i="7"/>
  <c r="X109" i="7"/>
  <c r="W109" i="7"/>
  <c r="M109" i="7"/>
  <c r="M108" i="7"/>
  <c r="F70" i="6"/>
  <c r="F69" i="6"/>
  <c r="S127" i="7" l="1"/>
  <c r="S128" i="7"/>
  <c r="S126" i="7"/>
  <c r="G274" i="6"/>
  <c r="E274" i="6"/>
  <c r="D6" i="7"/>
  <c r="D10" i="7"/>
  <c r="C10" i="7"/>
  <c r="Z24" i="7" l="1"/>
  <c r="Z23" i="7"/>
  <c r="T24" i="7"/>
  <c r="Z51" i="7"/>
  <c r="Z47" i="7"/>
  <c r="Z43" i="7"/>
  <c r="Z39" i="7"/>
  <c r="V49" i="7"/>
  <c r="V45" i="7"/>
  <c r="V41" i="7"/>
  <c r="T49" i="7"/>
  <c r="T45" i="7"/>
  <c r="T41" i="7"/>
  <c r="Z25" i="7"/>
  <c r="Z40" i="7"/>
  <c r="V42" i="7"/>
  <c r="T50" i="7"/>
  <c r="T38" i="7"/>
  <c r="Q46" i="7"/>
  <c r="Q38" i="7"/>
  <c r="V25" i="7"/>
  <c r="T25" i="7"/>
  <c r="Z50" i="7"/>
  <c r="Z46" i="7"/>
  <c r="Z42" i="7"/>
  <c r="Z38" i="7"/>
  <c r="V48" i="7"/>
  <c r="V44" i="7"/>
  <c r="V40" i="7"/>
  <c r="T48" i="7"/>
  <c r="T44" i="7"/>
  <c r="T40" i="7"/>
  <c r="Q49" i="7"/>
  <c r="Q47" i="7"/>
  <c r="Q45" i="7"/>
  <c r="Q43" i="7"/>
  <c r="Q41" i="7"/>
  <c r="Q39" i="7"/>
  <c r="T23" i="7"/>
  <c r="Z48" i="7"/>
  <c r="V50" i="7"/>
  <c r="T42" i="7"/>
  <c r="Q48" i="7"/>
  <c r="Q42" i="7"/>
  <c r="V24" i="7"/>
  <c r="Z49" i="7"/>
  <c r="Z45" i="7"/>
  <c r="Z41" i="7"/>
  <c r="V51" i="7"/>
  <c r="V47" i="7"/>
  <c r="V43" i="7"/>
  <c r="V39" i="7"/>
  <c r="T51" i="7"/>
  <c r="T47" i="7"/>
  <c r="T43" i="7"/>
  <c r="T39" i="7"/>
  <c r="Q51" i="7"/>
  <c r="V23" i="7"/>
  <c r="Z44" i="7"/>
  <c r="V46" i="7"/>
  <c r="V38" i="7"/>
  <c r="T46" i="7"/>
  <c r="Q50" i="7"/>
  <c r="Q44" i="7"/>
  <c r="Q40" i="7"/>
  <c r="AA24" i="7"/>
  <c r="W23" i="7"/>
  <c r="U25" i="7"/>
  <c r="AA49" i="7"/>
  <c r="AA45" i="7"/>
  <c r="AA41" i="7"/>
  <c r="X49" i="7"/>
  <c r="X45" i="7"/>
  <c r="X41" i="7"/>
  <c r="Y41" i="7" s="1"/>
  <c r="W51" i="7"/>
  <c r="W47" i="7"/>
  <c r="W43" i="7"/>
  <c r="W39" i="7"/>
  <c r="U51" i="7"/>
  <c r="U47" i="7"/>
  <c r="U43" i="7"/>
  <c r="U39" i="7"/>
  <c r="R51" i="7"/>
  <c r="R49" i="7"/>
  <c r="R47" i="7"/>
  <c r="R45" i="7"/>
  <c r="R43" i="7"/>
  <c r="R41" i="7"/>
  <c r="R39" i="7"/>
  <c r="W24" i="7"/>
  <c r="AA50" i="7"/>
  <c r="AA38" i="7"/>
  <c r="X50" i="7"/>
  <c r="W48" i="7"/>
  <c r="W40" i="7"/>
  <c r="U48" i="7"/>
  <c r="AA23" i="7"/>
  <c r="X24" i="7"/>
  <c r="U24" i="7"/>
  <c r="AA48" i="7"/>
  <c r="AA44" i="7"/>
  <c r="AA40" i="7"/>
  <c r="X48" i="7"/>
  <c r="X44" i="7"/>
  <c r="Y44" i="7" s="1"/>
  <c r="X40" i="7"/>
  <c r="Y40" i="7" s="1"/>
  <c r="W50" i="7"/>
  <c r="W46" i="7"/>
  <c r="W42" i="7"/>
  <c r="W38" i="7"/>
  <c r="U50" i="7"/>
  <c r="U46" i="7"/>
  <c r="U42" i="7"/>
  <c r="U38" i="7"/>
  <c r="R50" i="7"/>
  <c r="X42" i="7"/>
  <c r="Y42" i="7" s="1"/>
  <c r="U44" i="7"/>
  <c r="X25" i="7"/>
  <c r="W25" i="7"/>
  <c r="U23" i="7"/>
  <c r="AA51" i="7"/>
  <c r="AA47" i="7"/>
  <c r="AA43" i="7"/>
  <c r="AA39" i="7"/>
  <c r="X51" i="7"/>
  <c r="X47" i="7"/>
  <c r="X43" i="7"/>
  <c r="Y43" i="7" s="1"/>
  <c r="X39" i="7"/>
  <c r="Y39" i="7" s="1"/>
  <c r="W49" i="7"/>
  <c r="W45" i="7"/>
  <c r="W41" i="7"/>
  <c r="U49" i="7"/>
  <c r="U45" i="7"/>
  <c r="U41" i="7"/>
  <c r="R48" i="7"/>
  <c r="R46" i="7"/>
  <c r="R44" i="7"/>
  <c r="R42" i="7"/>
  <c r="R40" i="7"/>
  <c r="R38" i="7"/>
  <c r="AA25" i="7"/>
  <c r="X23" i="7"/>
  <c r="AA46" i="7"/>
  <c r="AA42" i="7"/>
  <c r="X46" i="7"/>
  <c r="X38" i="7"/>
  <c r="Y38" i="7" s="1"/>
  <c r="W44" i="7"/>
  <c r="U40" i="7"/>
  <c r="R92" i="7"/>
  <c r="U130" i="7"/>
  <c r="R130" i="7"/>
  <c r="U92" i="7"/>
  <c r="T130" i="7"/>
  <c r="Q130" i="7"/>
  <c r="Q23" i="7"/>
  <c r="R23" i="7"/>
  <c r="Q24" i="7"/>
  <c r="Q25" i="7"/>
  <c r="R25" i="7"/>
  <c r="R24" i="7"/>
  <c r="AA26" i="7" l="1"/>
  <c r="Z52" i="7"/>
  <c r="Z26" i="7"/>
  <c r="W52" i="7"/>
  <c r="V52" i="7"/>
  <c r="C68" i="16"/>
  <c r="G223" i="6" l="1"/>
  <c r="E223" i="6"/>
  <c r="G219" i="6"/>
  <c r="E219" i="6"/>
  <c r="B115" i="6" l="1"/>
  <c r="F116" i="6"/>
  <c r="D116" i="6"/>
  <c r="F71" i="6"/>
  <c r="D71" i="6"/>
  <c r="B666" i="6"/>
  <c r="B658" i="6"/>
  <c r="B655" i="6"/>
  <c r="B651" i="6"/>
  <c r="B299" i="6"/>
  <c r="B656" i="6" s="1"/>
  <c r="B300" i="6"/>
  <c r="B657" i="6" s="1"/>
  <c r="C52" i="16" l="1"/>
  <c r="F128" i="6"/>
  <c r="D128" i="6"/>
  <c r="E52" i="16"/>
  <c r="B72" i="6"/>
  <c r="E163" i="6"/>
  <c r="E166" i="6" s="1"/>
  <c r="F144" i="6"/>
  <c r="D144" i="6"/>
  <c r="D108" i="6"/>
  <c r="F108" i="6"/>
  <c r="F61" i="6"/>
  <c r="D61" i="6"/>
  <c r="T211" i="7" l="1"/>
  <c r="V211" i="7" s="1"/>
  <c r="F243" i="6"/>
  <c r="D243" i="6"/>
  <c r="F23" i="17"/>
  <c r="C50" i="16"/>
  <c r="E28" i="13"/>
  <c r="C51" i="16"/>
  <c r="G28" i="13"/>
  <c r="D33" i="16"/>
  <c r="F146" i="6"/>
  <c r="F33" i="16"/>
  <c r="D146" i="6"/>
  <c r="F126" i="6"/>
  <c r="D126" i="6"/>
  <c r="E17" i="17"/>
  <c r="E50" i="16"/>
  <c r="F72" i="6"/>
  <c r="F74" i="6" s="1"/>
  <c r="E66" i="6"/>
  <c r="B25" i="6"/>
  <c r="B24" i="6"/>
  <c r="B26" i="6"/>
  <c r="E29" i="7"/>
  <c r="E26" i="7"/>
  <c r="C26" i="7"/>
  <c r="F25" i="6"/>
  <c r="F24" i="6"/>
  <c r="D24" i="6"/>
  <c r="H21" i="13"/>
  <c r="F21" i="13"/>
  <c r="G146" i="6" l="1"/>
  <c r="G31" i="13"/>
  <c r="E146" i="6"/>
  <c r="E31" i="13"/>
  <c r="G23" i="17"/>
  <c r="E23" i="17" s="1"/>
  <c r="D19" i="6"/>
  <c r="D29" i="7"/>
  <c r="D25" i="6"/>
  <c r="F29" i="7"/>
  <c r="B18" i="13"/>
  <c r="D21" i="6" l="1"/>
  <c r="D195" i="6"/>
  <c r="F75" i="6"/>
  <c r="F120" i="6" s="1"/>
  <c r="F61" i="16"/>
  <c r="F135" i="6"/>
  <c r="G135" i="6"/>
  <c r="F34" i="7"/>
  <c r="F48" i="6" s="1"/>
  <c r="F50" i="6" s="1"/>
  <c r="G17" i="17"/>
  <c r="D34" i="7"/>
  <c r="D48" i="6" s="1"/>
  <c r="D50" i="6" s="1"/>
  <c r="F26" i="6"/>
  <c r="D26" i="6"/>
  <c r="D3" i="13"/>
  <c r="E45" i="16" l="1"/>
  <c r="F206" i="6"/>
  <c r="F52" i="17" s="1"/>
  <c r="E52" i="17" s="1"/>
  <c r="G23" i="13"/>
  <c r="Y48" i="7"/>
  <c r="Y47" i="7"/>
  <c r="Y45" i="7"/>
  <c r="Y49" i="7"/>
  <c r="Y46" i="7"/>
  <c r="D69" i="6"/>
  <c r="D74" i="6" s="1"/>
  <c r="J6" i="8"/>
  <c r="X100" i="7"/>
  <c r="G227" i="6"/>
  <c r="G216" i="6"/>
  <c r="G189" i="6"/>
  <c r="G174" i="6"/>
  <c r="G170" i="6"/>
  <c r="G159" i="6"/>
  <c r="U210" i="7" s="1"/>
  <c r="G153" i="6"/>
  <c r="G152" i="6"/>
  <c r="G151" i="6"/>
  <c r="G145" i="6"/>
  <c r="G144" i="6"/>
  <c r="H31" i="13" s="1"/>
  <c r="G142" i="6"/>
  <c r="G110" i="6"/>
  <c r="H29" i="13" s="1"/>
  <c r="G168" i="6" l="1"/>
  <c r="G169" i="6" s="1"/>
  <c r="G171" i="6" s="1"/>
  <c r="D29" i="16"/>
  <c r="D196" i="6"/>
  <c r="D200" i="6" s="1"/>
  <c r="F29" i="16"/>
  <c r="F196" i="6"/>
  <c r="G127" i="6"/>
  <c r="G155" i="6"/>
  <c r="H32" i="13" s="1"/>
  <c r="D135" i="6" l="1"/>
  <c r="H33" i="13"/>
  <c r="G173" i="6"/>
  <c r="W210" i="7"/>
  <c r="W212" i="7" s="1"/>
  <c r="G172" i="6" s="1"/>
  <c r="U212" i="7"/>
  <c r="E135" i="6"/>
  <c r="D75" i="6"/>
  <c r="E23" i="13" l="1"/>
  <c r="C45" i="16"/>
  <c r="D120" i="6"/>
  <c r="D206" i="6"/>
  <c r="E227" i="6" l="1"/>
  <c r="E110" i="6" l="1"/>
  <c r="F29" i="13" s="1"/>
  <c r="E174" i="6"/>
  <c r="E170" i="6"/>
  <c r="E159" i="6"/>
  <c r="E153" i="6"/>
  <c r="E152" i="6"/>
  <c r="E151" i="6"/>
  <c r="E145" i="6"/>
  <c r="E144" i="6"/>
  <c r="F31" i="13" s="1"/>
  <c r="E142" i="6"/>
  <c r="C121" i="6"/>
  <c r="C120" i="6"/>
  <c r="C119" i="6"/>
  <c r="C128" i="6"/>
  <c r="B128" i="6"/>
  <c r="C127" i="6"/>
  <c r="B127" i="6"/>
  <c r="C126" i="6"/>
  <c r="B126" i="6"/>
  <c r="C125" i="6"/>
  <c r="B125" i="6"/>
  <c r="C123" i="6"/>
  <c r="B123" i="6"/>
  <c r="A123" i="6"/>
  <c r="A128" i="6"/>
  <c r="A127" i="6"/>
  <c r="A126" i="6"/>
  <c r="A125" i="6"/>
  <c r="B121" i="6"/>
  <c r="B120" i="6"/>
  <c r="B119" i="6"/>
  <c r="A121" i="6"/>
  <c r="A120" i="6"/>
  <c r="A119" i="6"/>
  <c r="T210" i="7" l="1"/>
  <c r="T212" i="7" s="1"/>
  <c r="E168" i="6"/>
  <c r="E169" i="6" s="1"/>
  <c r="E171" i="6" s="1"/>
  <c r="B30" i="17"/>
  <c r="B60" i="16"/>
  <c r="B29" i="17"/>
  <c r="B59" i="16"/>
  <c r="E127" i="6"/>
  <c r="B664" i="6"/>
  <c r="B667" i="6"/>
  <c r="E155" i="6"/>
  <c r="F32" i="13" s="1"/>
  <c r="J40" i="8"/>
  <c r="J39" i="8"/>
  <c r="J38" i="8"/>
  <c r="J37" i="8"/>
  <c r="J36" i="8"/>
  <c r="J35" i="8"/>
  <c r="J34" i="8"/>
  <c r="J33" i="8"/>
  <c r="J32" i="8"/>
  <c r="J31" i="8"/>
  <c r="J30" i="8"/>
  <c r="J29" i="8"/>
  <c r="B34" i="8"/>
  <c r="C34" i="8"/>
  <c r="K6" i="8"/>
  <c r="C40" i="8"/>
  <c r="C39" i="8"/>
  <c r="C38" i="8"/>
  <c r="C37" i="8"/>
  <c r="C36" i="8"/>
  <c r="C35" i="8"/>
  <c r="C33" i="8"/>
  <c r="C32" i="8"/>
  <c r="C31" i="8"/>
  <c r="C29" i="8"/>
  <c r="B29" i="8"/>
  <c r="B40" i="8"/>
  <c r="B39" i="8"/>
  <c r="B38" i="8"/>
  <c r="B37" i="8"/>
  <c r="B36" i="8"/>
  <c r="B35" i="8"/>
  <c r="B33" i="8"/>
  <c r="B32" i="8"/>
  <c r="B31" i="8"/>
  <c r="B30" i="8"/>
  <c r="F33" i="13" l="1"/>
  <c r="V210" i="7"/>
  <c r="V212" i="7" s="1"/>
  <c r="E172" i="6" s="1"/>
  <c r="F224" i="6"/>
  <c r="D224" i="6"/>
  <c r="E173" i="6" l="1"/>
  <c r="E35" i="13"/>
  <c r="G35" i="13"/>
  <c r="D37" i="16"/>
  <c r="F37" i="16"/>
  <c r="E224" i="6"/>
  <c r="G224" i="6"/>
  <c r="H35" i="13" s="1"/>
  <c r="D40" i="8"/>
  <c r="D39" i="8"/>
  <c r="D38" i="8"/>
  <c r="B271" i="6"/>
  <c r="B270" i="6"/>
  <c r="E189" i="6"/>
  <c r="E216" i="6"/>
  <c r="W100" i="7"/>
  <c r="M76" i="7"/>
  <c r="M91" i="7"/>
  <c r="M90" i="7"/>
  <c r="F40" i="8" l="1"/>
  <c r="E40" i="8"/>
  <c r="E38" i="8"/>
  <c r="F38" i="8"/>
  <c r="F39" i="8"/>
  <c r="E39" i="8"/>
  <c r="D39" i="16"/>
  <c r="I30" i="16" s="1"/>
  <c r="F39" i="16"/>
  <c r="J30" i="16" s="1"/>
  <c r="F35" i="13"/>
  <c r="D30" i="8"/>
  <c r="D34" i="8"/>
  <c r="D31" i="8"/>
  <c r="D35" i="8"/>
  <c r="O296" i="7"/>
  <c r="K8" i="8" s="1"/>
  <c r="D32" i="8"/>
  <c r="D36" i="8"/>
  <c r="D33" i="8"/>
  <c r="D37" i="8"/>
  <c r="N296" i="7"/>
  <c r="J8" i="8" s="1"/>
  <c r="T38" i="8" l="1"/>
  <c r="P38" i="8"/>
  <c r="L38" i="8"/>
  <c r="N38" i="8"/>
  <c r="Q38" i="8"/>
  <c r="S38" i="8"/>
  <c r="O38" i="8"/>
  <c r="K38" i="8"/>
  <c r="R38" i="8"/>
  <c r="M38" i="8"/>
  <c r="R39" i="8"/>
  <c r="N39" i="8"/>
  <c r="L39" i="8"/>
  <c r="O39" i="8"/>
  <c r="Q39" i="8"/>
  <c r="M39" i="8"/>
  <c r="T39" i="8"/>
  <c r="P39" i="8"/>
  <c r="S39" i="8"/>
  <c r="K39" i="8"/>
  <c r="T40" i="8"/>
  <c r="P40" i="8"/>
  <c r="L40" i="8"/>
  <c r="N40" i="8"/>
  <c r="M40" i="8"/>
  <c r="S40" i="8"/>
  <c r="O40" i="8"/>
  <c r="K40" i="8"/>
  <c r="R40" i="8"/>
  <c r="Q40" i="8"/>
  <c r="F34" i="8"/>
  <c r="E34" i="8"/>
  <c r="F35" i="8"/>
  <c r="E35" i="8"/>
  <c r="E36" i="8"/>
  <c r="F36" i="8"/>
  <c r="F37" i="8"/>
  <c r="E37" i="8"/>
  <c r="E33" i="8"/>
  <c r="E32" i="8"/>
  <c r="E31" i="8"/>
  <c r="E30" i="8"/>
  <c r="G38" i="8"/>
  <c r="H38" i="8"/>
  <c r="H39" i="8"/>
  <c r="G40" i="8"/>
  <c r="H40" i="8"/>
  <c r="G39" i="8"/>
  <c r="U38" i="8"/>
  <c r="U39" i="8"/>
  <c r="U40" i="8"/>
  <c r="L8" i="8"/>
  <c r="P296" i="7"/>
  <c r="O298" i="7"/>
  <c r="K10" i="8" s="1"/>
  <c r="O295" i="7"/>
  <c r="N298" i="7"/>
  <c r="J10" i="8" s="1"/>
  <c r="N295" i="7"/>
  <c r="T34" i="8" l="1"/>
  <c r="P34" i="8"/>
  <c r="L34" i="8"/>
  <c r="N34" i="8"/>
  <c r="S34" i="8"/>
  <c r="O34" i="8"/>
  <c r="K34" i="8"/>
  <c r="R34" i="8"/>
  <c r="Q34" i="8"/>
  <c r="M34" i="8"/>
  <c r="T36" i="8"/>
  <c r="P36" i="8"/>
  <c r="L36" i="8"/>
  <c r="R36" i="8"/>
  <c r="Q36" i="8"/>
  <c r="S36" i="8"/>
  <c r="O36" i="8"/>
  <c r="K36" i="8"/>
  <c r="N36" i="8"/>
  <c r="M36" i="8"/>
  <c r="R37" i="8"/>
  <c r="N37" i="8"/>
  <c r="P37" i="8"/>
  <c r="O37" i="8"/>
  <c r="Q37" i="8"/>
  <c r="M37" i="8"/>
  <c r="T37" i="8"/>
  <c r="L37" i="8"/>
  <c r="S37" i="8"/>
  <c r="K37" i="8"/>
  <c r="R35" i="8"/>
  <c r="N35" i="8"/>
  <c r="T35" i="8"/>
  <c r="L35" i="8"/>
  <c r="O35" i="8"/>
  <c r="Q35" i="8"/>
  <c r="M35" i="8"/>
  <c r="P35" i="8"/>
  <c r="S35" i="8"/>
  <c r="K35" i="8"/>
  <c r="H36" i="8"/>
  <c r="G37" i="8"/>
  <c r="H37" i="8"/>
  <c r="G35" i="8"/>
  <c r="H35" i="8"/>
  <c r="G36" i="8"/>
  <c r="N299" i="7"/>
  <c r="N302" i="7" s="1"/>
  <c r="K7" i="8"/>
  <c r="K11" i="8" s="1"/>
  <c r="O299" i="7"/>
  <c r="O302" i="7" s="1"/>
  <c r="E41" i="8"/>
  <c r="U35" i="8"/>
  <c r="U36" i="8"/>
  <c r="U37" i="8"/>
  <c r="L10" i="8"/>
  <c r="P300" i="7"/>
  <c r="P298" i="7"/>
  <c r="D80" i="6" l="1"/>
  <c r="D155" i="6"/>
  <c r="G66" i="6"/>
  <c r="F80" i="6"/>
  <c r="F155" i="6"/>
  <c r="E32" i="13" l="1"/>
  <c r="F18" i="17"/>
  <c r="G18" i="17" s="1"/>
  <c r="G32" i="13"/>
  <c r="F24" i="17"/>
  <c r="E24" i="17" s="1"/>
  <c r="G24" i="13"/>
  <c r="E46" i="16"/>
  <c r="E24" i="13"/>
  <c r="C46" i="16"/>
  <c r="D34" i="16"/>
  <c r="D35" i="16" s="1"/>
  <c r="I29" i="16" s="1"/>
  <c r="F34" i="16"/>
  <c r="F35" i="16" s="1"/>
  <c r="J29" i="16" s="1"/>
  <c r="F121" i="6"/>
  <c r="F31" i="16"/>
  <c r="C59" i="16"/>
  <c r="D121" i="6"/>
  <c r="D31" i="16"/>
  <c r="F207" i="6"/>
  <c r="F53" i="17" s="1"/>
  <c r="D207" i="6"/>
  <c r="F29" i="17"/>
  <c r="E29" i="17" s="1"/>
  <c r="E59" i="16"/>
  <c r="G19" i="17"/>
  <c r="E19" i="17"/>
  <c r="E108" i="6"/>
  <c r="F28" i="13" s="1"/>
  <c r="G108" i="6"/>
  <c r="G80" i="6"/>
  <c r="H24" i="13" s="1"/>
  <c r="E80" i="6"/>
  <c r="F24" i="13" s="1"/>
  <c r="E70" i="16"/>
  <c r="E53" i="17" l="1"/>
  <c r="F55" i="17"/>
  <c r="H28" i="13"/>
  <c r="G243" i="6"/>
  <c r="E18" i="17"/>
  <c r="D188" i="6"/>
  <c r="E188" i="6" s="1"/>
  <c r="C70" i="16"/>
  <c r="G128" i="6"/>
  <c r="E243" i="6"/>
  <c r="E121" i="6"/>
  <c r="G121" i="6"/>
  <c r="G75" i="6"/>
  <c r="H23" i="13" s="1"/>
  <c r="E75" i="6"/>
  <c r="F23" i="13" s="1"/>
  <c r="F188" i="6"/>
  <c r="G188" i="6" l="1"/>
  <c r="G120" i="6"/>
  <c r="E120" i="6"/>
  <c r="N5" i="7"/>
  <c r="N29" i="7"/>
  <c r="E38" i="17" l="1"/>
  <c r="R5" i="7"/>
  <c r="R57" i="7"/>
  <c r="Q57" i="7"/>
  <c r="S146" i="7" l="1"/>
  <c r="N45" i="7" l="1"/>
  <c r="M137" i="7"/>
  <c r="M136" i="7"/>
  <c r="P45" i="7" l="1"/>
  <c r="S45" i="7" s="1"/>
  <c r="N46" i="7"/>
  <c r="B5" i="13"/>
  <c r="F32" i="6"/>
  <c r="F43" i="6"/>
  <c r="D32" i="6"/>
  <c r="M83" i="7"/>
  <c r="M82" i="7"/>
  <c r="P46" i="7" l="1"/>
  <c r="S46" i="7" s="1"/>
  <c r="N47" i="7"/>
  <c r="E16" i="17"/>
  <c r="G16" i="17"/>
  <c r="M120" i="7"/>
  <c r="M119" i="7"/>
  <c r="S119" i="7" s="1"/>
  <c r="M118" i="7"/>
  <c r="S118" i="7" s="1"/>
  <c r="M117" i="7"/>
  <c r="S117" i="7" s="1"/>
  <c r="M100" i="7"/>
  <c r="M99" i="7"/>
  <c r="P47" i="7" l="1"/>
  <c r="S47" i="7" s="1"/>
  <c r="N48" i="7"/>
  <c r="P48" i="7" l="1"/>
  <c r="S48" i="7" s="1"/>
  <c r="N49" i="7"/>
  <c r="D6" i="8"/>
  <c r="D11" i="8" s="1"/>
  <c r="P49" i="7" l="1"/>
  <c r="S49" i="7" s="1"/>
  <c r="D38" i="6"/>
  <c r="F33" i="6"/>
  <c r="F38" i="6"/>
  <c r="B8" i="8"/>
  <c r="B7" i="8"/>
  <c r="R26" i="7" l="1"/>
  <c r="D33" i="6"/>
  <c r="Q79" i="7" s="1"/>
  <c r="Q82" i="7" l="1"/>
  <c r="Q90" i="7"/>
  <c r="Q114" i="7"/>
  <c r="C287" i="7"/>
  <c r="U52" i="7"/>
  <c r="Q127" i="7" l="1"/>
  <c r="Q119" i="7"/>
  <c r="Q118" i="7"/>
  <c r="Q117" i="7"/>
  <c r="Q126" i="7"/>
  <c r="Q128" i="7"/>
  <c r="D202" i="6"/>
  <c r="E208" i="6" l="1"/>
  <c r="E207" i="6"/>
  <c r="E206" i="6"/>
  <c r="F212" i="6"/>
  <c r="D34" i="6"/>
  <c r="D27" i="6"/>
  <c r="P180" i="7"/>
  <c r="E21" i="6"/>
  <c r="E175" i="6"/>
  <c r="E176" i="6" s="1"/>
  <c r="F34" i="13" l="1"/>
  <c r="E34" i="13"/>
  <c r="Q116" i="7"/>
  <c r="D44" i="6"/>
  <c r="D666" i="6"/>
  <c r="E34" i="6"/>
  <c r="E179" i="6" l="1"/>
  <c r="E181" i="6" s="1"/>
  <c r="D28" i="16"/>
  <c r="D32" i="16" s="1"/>
  <c r="C60" i="16"/>
  <c r="P194" i="7"/>
  <c r="D56" i="6"/>
  <c r="T114" i="7"/>
  <c r="Q125" i="7"/>
  <c r="T79" i="7"/>
  <c r="Q83" i="7"/>
  <c r="E664" i="6"/>
  <c r="D667" i="6"/>
  <c r="E668" i="6" s="1"/>
  <c r="E44" i="6"/>
  <c r="Q91" i="7"/>
  <c r="T119" i="7" l="1"/>
  <c r="T118" i="7"/>
  <c r="T117" i="7"/>
  <c r="T128" i="7"/>
  <c r="T127" i="7"/>
  <c r="T126" i="7"/>
  <c r="T82" i="7"/>
  <c r="T90" i="7"/>
  <c r="D236" i="6"/>
  <c r="E205" i="6"/>
  <c r="Q121" i="7"/>
  <c r="E22" i="13"/>
  <c r="C44" i="16"/>
  <c r="D119" i="6"/>
  <c r="T125" i="7"/>
  <c r="T116" i="7"/>
  <c r="T83" i="7"/>
  <c r="T91" i="7"/>
  <c r="E56" i="6"/>
  <c r="F22" i="13" s="1"/>
  <c r="D234" i="6" l="1"/>
  <c r="E234" i="6" s="1"/>
  <c r="C83" i="16"/>
  <c r="D231" i="6"/>
  <c r="E231" i="6" s="1"/>
  <c r="C82" i="16"/>
  <c r="D235" i="6"/>
  <c r="E235" i="6" s="1"/>
  <c r="C84" i="16"/>
  <c r="E233" i="6"/>
  <c r="E42" i="6"/>
  <c r="D24" i="19"/>
  <c r="D46" i="19" s="1"/>
  <c r="T121" i="7"/>
  <c r="D185" i="6"/>
  <c r="D186" i="6"/>
  <c r="E186" i="6" s="1"/>
  <c r="E119" i="6"/>
  <c r="C67" i="16" l="1"/>
  <c r="E185" i="6"/>
  <c r="P295" i="7"/>
  <c r="P299" i="7" s="1"/>
  <c r="E255" i="6" l="1"/>
  <c r="D255" i="6"/>
  <c r="P302" i="7"/>
  <c r="Q299" i="7"/>
  <c r="M11" i="8" s="1"/>
  <c r="J7" i="8"/>
  <c r="L7" i="8" s="1"/>
  <c r="J11" i="8" l="1"/>
  <c r="L11" i="8"/>
  <c r="J12" i="8" l="1"/>
  <c r="E126" i="6"/>
  <c r="G126" i="6"/>
  <c r="E128" i="6" l="1"/>
  <c r="E129" i="6" s="1"/>
  <c r="W108" i="7" l="1"/>
  <c r="W99" i="7"/>
  <c r="R52" i="7"/>
  <c r="P51" i="7"/>
  <c r="Q26" i="7" l="1"/>
  <c r="Q52" i="7"/>
  <c r="T26" i="7" l="1"/>
  <c r="T52" i="7"/>
  <c r="Y50" i="7" l="1"/>
  <c r="Y51" i="7" l="1"/>
  <c r="X52" i="7"/>
  <c r="Y52" i="7" l="1"/>
  <c r="X26" i="7" l="1"/>
  <c r="Y24" i="7"/>
  <c r="Y23" i="7"/>
  <c r="Y25" i="7" l="1"/>
  <c r="Y26" i="7" l="1"/>
  <c r="F67" i="7"/>
  <c r="F72" i="7" s="1"/>
  <c r="F73" i="7" s="1"/>
  <c r="R79" i="7" s="1"/>
  <c r="R82" i="7" l="1"/>
  <c r="R90" i="7"/>
  <c r="B42" i="6"/>
  <c r="F12" i="6"/>
  <c r="B31" i="6" s="1"/>
  <c r="F195" i="6"/>
  <c r="F200" i="6" s="1"/>
  <c r="U26" i="7"/>
  <c r="F21" i="6" l="1"/>
  <c r="R114" i="7" s="1"/>
  <c r="F202" i="6"/>
  <c r="R126" i="7" l="1"/>
  <c r="R117" i="7"/>
  <c r="R128" i="7"/>
  <c r="R118" i="7"/>
  <c r="R127" i="7"/>
  <c r="R119" i="7"/>
  <c r="F34" i="6"/>
  <c r="G34" i="6" s="1"/>
  <c r="G21" i="6"/>
  <c r="F27" i="6"/>
  <c r="Q180" i="7"/>
  <c r="D287" i="7"/>
  <c r="G209" i="6"/>
  <c r="G206" i="6"/>
  <c r="G208" i="6"/>
  <c r="F236" i="6" s="1"/>
  <c r="G207" i="6"/>
  <c r="G211" i="6"/>
  <c r="G210" i="6"/>
  <c r="B185" i="6"/>
  <c r="B35" i="17" s="1"/>
  <c r="R116" i="7"/>
  <c r="G205" i="6"/>
  <c r="U114" i="7"/>
  <c r="R125" i="7"/>
  <c r="F213" i="6"/>
  <c r="R83" i="7"/>
  <c r="U79" i="7"/>
  <c r="R91" i="7"/>
  <c r="U125" i="7" l="1"/>
  <c r="U119" i="7"/>
  <c r="U128" i="7"/>
  <c r="U117" i="7"/>
  <c r="U118" i="7"/>
  <c r="U126" i="7"/>
  <c r="U127" i="7"/>
  <c r="U82" i="7"/>
  <c r="U90" i="7"/>
  <c r="F44" i="6"/>
  <c r="F56" i="6" s="1"/>
  <c r="F235" i="6"/>
  <c r="G235" i="6" s="1"/>
  <c r="E84" i="16"/>
  <c r="E85" i="16"/>
  <c r="F234" i="6"/>
  <c r="G234" i="6" s="1"/>
  <c r="E83" i="16"/>
  <c r="F231" i="6"/>
  <c r="G231" i="6" s="1"/>
  <c r="E82" i="16"/>
  <c r="E86" i="16"/>
  <c r="F238" i="6"/>
  <c r="G238" i="6" s="1"/>
  <c r="F239" i="6"/>
  <c r="G239" i="6" s="1"/>
  <c r="E87" i="16"/>
  <c r="U116" i="7"/>
  <c r="R121" i="7"/>
  <c r="F35" i="17" s="1"/>
  <c r="B69" i="17"/>
  <c r="F69" i="17"/>
  <c r="E69" i="17" s="1"/>
  <c r="R84" i="7"/>
  <c r="F89" i="16"/>
  <c r="G212" i="6"/>
  <c r="U83" i="7"/>
  <c r="U91" i="7"/>
  <c r="C282" i="7" l="1"/>
  <c r="F15" i="17"/>
  <c r="F28" i="16"/>
  <c r="F32" i="16" s="1"/>
  <c r="J28" i="16" s="1"/>
  <c r="J32" i="16" s="1"/>
  <c r="E44" i="16"/>
  <c r="E55" i="16" s="1"/>
  <c r="E57" i="16" s="1"/>
  <c r="U95" i="7" s="1"/>
  <c r="G22" i="13"/>
  <c r="G44" i="6"/>
  <c r="F179" i="6"/>
  <c r="F181" i="6" s="1"/>
  <c r="G179" i="6"/>
  <c r="G181" i="6" s="1"/>
  <c r="Q194" i="7"/>
  <c r="F119" i="6"/>
  <c r="F129" i="6" s="1"/>
  <c r="G56" i="6"/>
  <c r="H22" i="13" s="1"/>
  <c r="F88" i="16"/>
  <c r="F46" i="17"/>
  <c r="E46" i="17" s="1"/>
  <c r="F240" i="6"/>
  <c r="G233" i="6"/>
  <c r="G240" i="6" s="1"/>
  <c r="E55" i="17"/>
  <c r="U121" i="7"/>
  <c r="E67" i="16" s="1"/>
  <c r="F185" i="6"/>
  <c r="G185" i="6" s="1"/>
  <c r="F186" i="6"/>
  <c r="G186" i="6" s="1"/>
  <c r="F36" i="17"/>
  <c r="E36" i="17" s="1"/>
  <c r="R96" i="7"/>
  <c r="U84" i="7"/>
  <c r="E68" i="16" s="1"/>
  <c r="R31" i="7"/>
  <c r="R32" i="7"/>
  <c r="R33" i="7"/>
  <c r="E35" i="17"/>
  <c r="F22" i="17" l="1"/>
  <c r="F25" i="17" s="1"/>
  <c r="G15" i="17"/>
  <c r="G22" i="17" s="1"/>
  <c r="E15" i="17"/>
  <c r="E22" i="17" s="1"/>
  <c r="E25" i="17" s="1"/>
  <c r="R142" i="7"/>
  <c r="R17" i="7"/>
  <c r="R4" i="7"/>
  <c r="F41" i="16"/>
  <c r="W5" i="7"/>
  <c r="R108" i="7"/>
  <c r="R99" i="7"/>
  <c r="U99" i="7"/>
  <c r="U108" i="7"/>
  <c r="D276" i="7"/>
  <c r="G30" i="13"/>
  <c r="AA5" i="7"/>
  <c r="C374" i="7"/>
  <c r="G377" i="7" s="1"/>
  <c r="F299" i="6"/>
  <c r="R133" i="7"/>
  <c r="R136" i="7" s="1"/>
  <c r="R16" i="7"/>
  <c r="F136" i="6"/>
  <c r="F133" i="6" s="1"/>
  <c r="G119" i="6"/>
  <c r="G129" i="6" s="1"/>
  <c r="H30" i="13" s="1"/>
  <c r="D243" i="7"/>
  <c r="E24" i="19"/>
  <c r="E46" i="19" s="1"/>
  <c r="R10" i="7"/>
  <c r="Q10" i="7"/>
  <c r="R34" i="7"/>
  <c r="R107" i="7"/>
  <c r="R110" i="7" s="1"/>
  <c r="R98" i="7"/>
  <c r="R146" i="7" l="1"/>
  <c r="R145" i="7"/>
  <c r="R144" i="7"/>
  <c r="W32" i="7"/>
  <c r="W33" i="7"/>
  <c r="W10" i="7" s="1"/>
  <c r="W31" i="7"/>
  <c r="W34" i="7" s="1"/>
  <c r="Z96" i="7"/>
  <c r="AA33" i="7"/>
  <c r="AA31" i="7"/>
  <c r="AA32" i="7"/>
  <c r="G136" i="6"/>
  <c r="G133" i="6" s="1"/>
  <c r="W17" i="7"/>
  <c r="W16" i="7"/>
  <c r="X107" i="7"/>
  <c r="X98" i="7"/>
  <c r="U133" i="7"/>
  <c r="U136" i="7" s="1"/>
  <c r="R135" i="7"/>
  <c r="R138" i="7" s="1"/>
  <c r="F37" i="17" s="1"/>
  <c r="U4" i="7"/>
  <c r="U5" i="7" s="1"/>
  <c r="X108" i="7"/>
  <c r="X110" i="7" s="1"/>
  <c r="X99" i="7"/>
  <c r="AA17" i="7"/>
  <c r="AA16" i="7"/>
  <c r="G378" i="7"/>
  <c r="E379" i="7"/>
  <c r="F132" i="6"/>
  <c r="W26" i="7"/>
  <c r="R101" i="7"/>
  <c r="R147" i="7"/>
  <c r="Q9" i="7"/>
  <c r="R9" i="7"/>
  <c r="Q8" i="7"/>
  <c r="R8" i="7"/>
  <c r="R18" i="7"/>
  <c r="Z108" i="7" l="1"/>
  <c r="Z99" i="7"/>
  <c r="Z98" i="7"/>
  <c r="Z107" i="7"/>
  <c r="Z110" i="7" s="1"/>
  <c r="U17" i="7"/>
  <c r="U33" i="7"/>
  <c r="U10" i="7" s="1"/>
  <c r="AA34" i="7"/>
  <c r="U32" i="7"/>
  <c r="U9" i="7" s="1"/>
  <c r="U31" i="7"/>
  <c r="AA9" i="7"/>
  <c r="X101" i="7"/>
  <c r="G184" i="6" s="1"/>
  <c r="U135" i="7"/>
  <c r="U138" i="7" s="1"/>
  <c r="U16" i="7"/>
  <c r="U18" i="7" s="1"/>
  <c r="Z101" i="7"/>
  <c r="G255" i="6"/>
  <c r="F255" i="6"/>
  <c r="AA18" i="7"/>
  <c r="AA8" i="7"/>
  <c r="F34" i="17"/>
  <c r="G132" i="6"/>
  <c r="F187" i="6"/>
  <c r="G187" i="6" s="1"/>
  <c r="F131" i="6"/>
  <c r="W9" i="7"/>
  <c r="W18" i="7"/>
  <c r="W8" i="7"/>
  <c r="F184" i="6"/>
  <c r="F130" i="6"/>
  <c r="Q11" i="7"/>
  <c r="U8" i="7" l="1"/>
  <c r="U34" i="7"/>
  <c r="E69" i="16"/>
  <c r="G131" i="6"/>
  <c r="F190" i="6"/>
  <c r="E37" i="17"/>
  <c r="G190" i="6"/>
  <c r="W11" i="7"/>
  <c r="U107" i="7"/>
  <c r="U98" i="7"/>
  <c r="F134" i="6"/>
  <c r="F300" i="6"/>
  <c r="F301" i="6" s="1"/>
  <c r="G130" i="6" l="1"/>
  <c r="U11" i="7"/>
  <c r="E58" i="16"/>
  <c r="U110" i="7"/>
  <c r="U101" i="7"/>
  <c r="G134" i="6"/>
  <c r="F28" i="17" s="1"/>
  <c r="E66" i="16" l="1"/>
  <c r="E72" i="16" s="1"/>
  <c r="E28" i="17"/>
  <c r="F62" i="16" l="1"/>
  <c r="E62" i="16" s="1"/>
  <c r="E27" i="13"/>
  <c r="AA10" i="7" l="1"/>
  <c r="AA11" i="7" s="1"/>
  <c r="F30" i="13"/>
  <c r="E136" i="6"/>
  <c r="E133" i="6" s="1"/>
  <c r="W107" i="7"/>
  <c r="W98" i="7"/>
  <c r="W110" i="7"/>
  <c r="V26" i="7"/>
  <c r="AA52" i="7" l="1"/>
  <c r="E28" i="19"/>
  <c r="W101" i="7"/>
  <c r="E184" i="6" l="1"/>
  <c r="D28" i="19" l="1"/>
  <c r="F40" i="17" l="1"/>
  <c r="E40" i="17" s="1"/>
  <c r="E34" i="17" l="1"/>
  <c r="F380" i="7" l="1"/>
  <c r="E382" i="7" l="1"/>
  <c r="G380" i="7"/>
  <c r="C385" i="7"/>
  <c r="F381" i="7"/>
  <c r="E385" i="7" l="1"/>
  <c r="P210" i="7" l="1"/>
  <c r="F166" i="6"/>
  <c r="P211" i="7" s="1"/>
  <c r="R211" i="7" s="1"/>
  <c r="F168" i="6" l="1"/>
  <c r="F169" i="6" s="1"/>
  <c r="F171" i="6" s="1"/>
  <c r="R210" i="7"/>
  <c r="R212" i="7" s="1"/>
  <c r="F172" i="6" s="1"/>
  <c r="P212" i="7"/>
  <c r="G33" i="13" l="1"/>
  <c r="F173" i="6"/>
  <c r="F175" i="6" s="1"/>
  <c r="G24" i="17" l="1"/>
  <c r="G25" i="17" s="1"/>
  <c r="F176" i="6"/>
  <c r="G182" i="6" s="1"/>
  <c r="G191" i="6" s="1"/>
  <c r="G192" i="6" s="1"/>
  <c r="G241" i="6" s="1"/>
  <c r="G244" i="6" s="1"/>
  <c r="G34" i="13"/>
  <c r="E60" i="16" l="1"/>
  <c r="E63" i="16" s="1"/>
  <c r="F182" i="6"/>
  <c r="F191" i="6" s="1"/>
  <c r="F192" i="6" s="1"/>
  <c r="F241" i="6" s="1"/>
  <c r="F244" i="6" s="1"/>
  <c r="F30" i="17"/>
  <c r="E30" i="17" s="1"/>
  <c r="E31" i="17" s="1"/>
  <c r="G246" i="6"/>
  <c r="D230" i="7" s="1"/>
  <c r="C8" i="8" l="1"/>
  <c r="F73" i="16"/>
  <c r="F76" i="16" s="1"/>
  <c r="F90" i="16" s="1"/>
  <c r="F31" i="17"/>
  <c r="F41" i="17" s="1"/>
  <c r="E41" i="17" s="1"/>
  <c r="G247" i="6"/>
  <c r="G270" i="6"/>
  <c r="E27" i="19"/>
  <c r="E29" i="19" s="1"/>
  <c r="E30" i="19" s="1"/>
  <c r="E31" i="19" s="1"/>
  <c r="H36" i="13"/>
  <c r="F246" i="6" l="1"/>
  <c r="D231" i="7" s="1"/>
  <c r="F42" i="17"/>
  <c r="G36" i="13" l="1"/>
  <c r="E10" i="16"/>
  <c r="F12" i="16" s="1"/>
  <c r="E42" i="17"/>
  <c r="E56" i="17" s="1"/>
  <c r="F56" i="17"/>
  <c r="E8" i="16"/>
  <c r="F270" i="6"/>
  <c r="F247" i="6"/>
  <c r="F386" i="7" l="1"/>
  <c r="E388" i="7" l="1"/>
  <c r="F387" i="7"/>
  <c r="G386" i="7"/>
  <c r="D190" i="7" l="1"/>
  <c r="D122" i="6"/>
  <c r="D86" i="6"/>
  <c r="D179" i="6" l="1"/>
  <c r="D181" i="6" s="1"/>
  <c r="D237" i="6"/>
  <c r="E209" i="6"/>
  <c r="E210" i="6"/>
  <c r="E211" i="6"/>
  <c r="C47" i="16"/>
  <c r="C55" i="16" s="1"/>
  <c r="C57" i="16" s="1"/>
  <c r="D61" i="16" s="1"/>
  <c r="D209" i="6"/>
  <c r="D123" i="6"/>
  <c r="D129" i="6" s="1"/>
  <c r="D41" i="16"/>
  <c r="E25" i="13"/>
  <c r="D284" i="6" l="1"/>
  <c r="Q31" i="7"/>
  <c r="Q32" i="7"/>
  <c r="Q33" i="7"/>
  <c r="C87" i="16"/>
  <c r="C85" i="16"/>
  <c r="D238" i="6"/>
  <c r="E238" i="6" s="1"/>
  <c r="C86" i="16"/>
  <c r="D62" i="16"/>
  <c r="C62" i="16" s="1"/>
  <c r="T95" i="7"/>
  <c r="V5" i="7"/>
  <c r="C243" i="7"/>
  <c r="D239" i="6"/>
  <c r="E239" i="6" s="1"/>
  <c r="I28" i="16"/>
  <c r="D212" i="6"/>
  <c r="D213" i="6" s="1"/>
  <c r="Z5" i="7"/>
  <c r="C351" i="7"/>
  <c r="D299" i="6"/>
  <c r="D656" i="6" s="1"/>
  <c r="Q17" i="7"/>
  <c r="T4" i="7"/>
  <c r="T5" i="7" s="1"/>
  <c r="Q96" i="7"/>
  <c r="D136" i="6"/>
  <c r="D133" i="6" s="1"/>
  <c r="E30" i="13"/>
  <c r="Q142" i="7"/>
  <c r="Q144" i="7" s="1"/>
  <c r="Q133" i="7"/>
  <c r="C276" i="7"/>
  <c r="N4" i="7"/>
  <c r="P17" i="7" s="1"/>
  <c r="E212" i="6"/>
  <c r="N9" i="7" l="1"/>
  <c r="B131" i="6" s="1"/>
  <c r="Y96" i="7"/>
  <c r="Y108" i="7" s="1"/>
  <c r="Z33" i="7"/>
  <c r="Z10" i="7" s="1"/>
  <c r="Z32" i="7"/>
  <c r="Z31" i="7"/>
  <c r="M10" i="7"/>
  <c r="D132" i="6" s="1"/>
  <c r="N10" i="7"/>
  <c r="B132" i="6" s="1"/>
  <c r="V16" i="7"/>
  <c r="V8" i="7" s="1"/>
  <c r="V33" i="7"/>
  <c r="V10" i="7" s="1"/>
  <c r="V31" i="7"/>
  <c r="V32" i="7"/>
  <c r="T17" i="7"/>
  <c r="T33" i="7"/>
  <c r="T10" i="7" s="1"/>
  <c r="E132" i="6" s="1"/>
  <c r="T32" i="7"/>
  <c r="T31" i="7"/>
  <c r="T34" i="7" s="1"/>
  <c r="Q34" i="7"/>
  <c r="T99" i="7"/>
  <c r="T108" i="7"/>
  <c r="Q135" i="7"/>
  <c r="Q138" i="7" s="1"/>
  <c r="Q136" i="7"/>
  <c r="B184" i="6"/>
  <c r="B34" i="17" s="1"/>
  <c r="Q108" i="7"/>
  <c r="Q99" i="7"/>
  <c r="Y99" i="7"/>
  <c r="D88" i="16"/>
  <c r="E356" i="7"/>
  <c r="I32" i="16"/>
  <c r="T98" i="7"/>
  <c r="D240" i="6"/>
  <c r="T107" i="7"/>
  <c r="T110" i="7" s="1"/>
  <c r="V17" i="7"/>
  <c r="V9" i="7" s="1"/>
  <c r="Q16" i="7"/>
  <c r="M8" i="7" s="1"/>
  <c r="D130" i="6" s="1"/>
  <c r="E240" i="6"/>
  <c r="G354" i="7"/>
  <c r="Z17" i="7"/>
  <c r="Z9" i="7" s="1"/>
  <c r="Z16" i="7"/>
  <c r="G355" i="7"/>
  <c r="M9" i="7"/>
  <c r="D131" i="6" s="1"/>
  <c r="T16" i="7"/>
  <c r="Q98" i="7"/>
  <c r="Q107" i="7"/>
  <c r="Q146" i="7"/>
  <c r="T133" i="7"/>
  <c r="T136" i="7" s="1"/>
  <c r="Q145" i="7"/>
  <c r="Y98" i="7"/>
  <c r="Y107" i="7"/>
  <c r="Y110" i="7" s="1"/>
  <c r="T101" i="7" l="1"/>
  <c r="T18" i="7"/>
  <c r="Z34" i="7"/>
  <c r="C66" i="16"/>
  <c r="T9" i="7"/>
  <c r="E131" i="6" s="1"/>
  <c r="C69" i="16"/>
  <c r="D187" i="6"/>
  <c r="E187" i="6" s="1"/>
  <c r="E190" i="6" s="1"/>
  <c r="Q110" i="7"/>
  <c r="V34" i="7"/>
  <c r="V18" i="7"/>
  <c r="V11" i="7"/>
  <c r="N8" i="7"/>
  <c r="B130" i="6" s="1"/>
  <c r="Q18" i="7"/>
  <c r="Q101" i="7"/>
  <c r="D184" i="6" s="1"/>
  <c r="Z18" i="7"/>
  <c r="Z8" i="7"/>
  <c r="Z11" i="7" s="1"/>
  <c r="M11" i="7"/>
  <c r="T8" i="7"/>
  <c r="D134" i="6"/>
  <c r="T135" i="7"/>
  <c r="T138" i="7" s="1"/>
  <c r="Q147" i="7"/>
  <c r="B113" i="6" s="1"/>
  <c r="Y101" i="7"/>
  <c r="T11" i="7" l="1"/>
  <c r="D190" i="6"/>
  <c r="C72" i="16"/>
  <c r="C58" i="16"/>
  <c r="C63" i="16" s="1"/>
  <c r="D73" i="16" s="1"/>
  <c r="D76" i="16" s="1"/>
  <c r="D90" i="16" s="1"/>
  <c r="D300" i="6"/>
  <c r="D301" i="6" s="1"/>
  <c r="E130" i="6"/>
  <c r="E134" i="6" s="1"/>
  <c r="E182" i="6" s="1"/>
  <c r="E191" i="6" s="1"/>
  <c r="E192" i="6" s="1"/>
  <c r="D182" i="6"/>
  <c r="D191" i="6" l="1"/>
  <c r="D192" i="6" s="1"/>
  <c r="D241" i="6" s="1"/>
  <c r="D657" i="6"/>
  <c r="D651" i="6"/>
  <c r="E241" i="6"/>
  <c r="E658" i="6"/>
  <c r="D244" i="6" l="1"/>
  <c r="E244" i="6"/>
  <c r="E246" i="6" s="1"/>
  <c r="C230" i="7" s="1"/>
  <c r="C7" i="8" l="1"/>
  <c r="C11" i="8" s="1"/>
  <c r="E11" i="8" s="1"/>
  <c r="F6" i="8" s="1"/>
  <c r="E247" i="6"/>
  <c r="E7" i="17"/>
  <c r="F7" i="17" s="1"/>
  <c r="D246" i="6"/>
  <c r="C231" i="7" s="1"/>
  <c r="C8" i="16"/>
  <c r="D27" i="19"/>
  <c r="D29" i="19" s="1"/>
  <c r="D30" i="19" s="1"/>
  <c r="D31" i="19" s="1"/>
  <c r="E270" i="6"/>
  <c r="F36" i="13"/>
  <c r="E6" i="17" l="1"/>
  <c r="E8" i="17" s="1"/>
  <c r="F8" i="17" s="1"/>
  <c r="C250" i="7"/>
  <c r="C10" i="16"/>
  <c r="D12" i="16" s="1"/>
  <c r="D270" i="6"/>
  <c r="E36" i="13"/>
  <c r="D247" i="6"/>
  <c r="F6" i="17" l="1"/>
  <c r="C247" i="7"/>
  <c r="C262" i="7"/>
  <c r="C259" i="7"/>
  <c r="C251" i="7"/>
  <c r="C258" i="7"/>
  <c r="C264" i="7" s="1"/>
  <c r="C248" i="7"/>
  <c r="C252" i="7"/>
  <c r="C261" i="7"/>
  <c r="C249" i="7"/>
  <c r="C260" i="7"/>
  <c r="D252" i="7"/>
  <c r="D248" i="7"/>
  <c r="D259" i="7"/>
  <c r="D258" i="7"/>
  <c r="D262" i="7"/>
  <c r="D251" i="7"/>
  <c r="D247" i="7"/>
  <c r="D260" i="7"/>
  <c r="D261" i="7"/>
  <c r="D249" i="7"/>
  <c r="D250" i="7"/>
  <c r="D264" i="7" l="1"/>
  <c r="C254" i="7"/>
  <c r="C233" i="7" s="1"/>
  <c r="D254" i="7"/>
  <c r="D233" i="7" s="1"/>
  <c r="D18" i="8"/>
  <c r="D19" i="8" s="1"/>
  <c r="E18" i="8"/>
  <c r="E19" i="8" s="1"/>
  <c r="D234" i="7" l="1"/>
  <c r="D235" i="7" s="1"/>
  <c r="C234" i="7"/>
  <c r="D20" i="8"/>
  <c r="D21" i="8"/>
  <c r="D23" i="8"/>
  <c r="F251" i="6" l="1"/>
  <c r="G251" i="6"/>
  <c r="C235" i="7"/>
  <c r="E251" i="6"/>
  <c r="D251" i="6"/>
  <c r="F32" i="8"/>
  <c r="F33" i="8"/>
  <c r="F30" i="8"/>
  <c r="F31" i="8"/>
  <c r="F29" i="8"/>
  <c r="N29" i="8" s="1"/>
  <c r="E10" i="17"/>
  <c r="E11" i="17" s="1"/>
  <c r="E19" i="13"/>
  <c r="D22" i="8"/>
  <c r="G34" i="8"/>
  <c r="H34" i="8" s="1"/>
  <c r="F252" i="6" l="1"/>
  <c r="F262" i="6" s="1"/>
  <c r="F267" i="6" s="1"/>
  <c r="G252" i="6"/>
  <c r="G262" i="6" s="1"/>
  <c r="G267" i="6" s="1"/>
  <c r="R33" i="8"/>
  <c r="N33" i="8"/>
  <c r="P33" i="8"/>
  <c r="S33" i="8"/>
  <c r="Q33" i="8"/>
  <c r="M33" i="8"/>
  <c r="T33" i="8"/>
  <c r="L33" i="8"/>
  <c r="O33" i="8"/>
  <c r="K33" i="8"/>
  <c r="T32" i="8"/>
  <c r="P32" i="8"/>
  <c r="L32" i="8"/>
  <c r="R32" i="8"/>
  <c r="Q32" i="8"/>
  <c r="S32" i="8"/>
  <c r="O32" i="8"/>
  <c r="K32" i="8"/>
  <c r="N32" i="8"/>
  <c r="M32" i="8"/>
  <c r="G31" i="8"/>
  <c r="H31" i="8" s="1"/>
  <c r="R31" i="8"/>
  <c r="N31" i="8"/>
  <c r="T31" i="8"/>
  <c r="L31" i="8"/>
  <c r="S31" i="8"/>
  <c r="K31" i="8"/>
  <c r="Q31" i="8"/>
  <c r="M31" i="8"/>
  <c r="P31" i="8"/>
  <c r="O31" i="8"/>
  <c r="T30" i="8"/>
  <c r="P30" i="8"/>
  <c r="L30" i="8"/>
  <c r="S30" i="8"/>
  <c r="K30" i="8"/>
  <c r="R30" i="8"/>
  <c r="N30" i="8"/>
  <c r="Q30" i="8"/>
  <c r="O30" i="8"/>
  <c r="M30" i="8"/>
  <c r="P29" i="8"/>
  <c r="O29" i="8"/>
  <c r="S29" i="8"/>
  <c r="R29" i="8"/>
  <c r="T29" i="8"/>
  <c r="L29" i="8"/>
  <c r="K29" i="8"/>
  <c r="M29" i="8"/>
  <c r="Q29" i="8"/>
  <c r="E252" i="6"/>
  <c r="E262" i="6" s="1"/>
  <c r="E267" i="6" s="1"/>
  <c r="D252" i="6"/>
  <c r="D262" i="6" s="1"/>
  <c r="D267" i="6" s="1"/>
  <c r="G32" i="8"/>
  <c r="H32" i="8" s="1"/>
  <c r="G33" i="8"/>
  <c r="H33" i="8" s="1"/>
  <c r="F41" i="8"/>
  <c r="G30" i="8"/>
  <c r="H30" i="8" s="1"/>
  <c r="F10" i="17"/>
  <c r="G29" i="8"/>
  <c r="E12" i="17"/>
  <c r="F11" i="17"/>
  <c r="G271" i="6" l="1"/>
  <c r="G272" i="6"/>
  <c r="G277" i="6" s="1"/>
  <c r="H37" i="13"/>
  <c r="E271" i="6"/>
  <c r="E272" i="6"/>
  <c r="E277" i="6" s="1"/>
  <c r="F37" i="13"/>
  <c r="E5" i="16"/>
  <c r="F272" i="6"/>
  <c r="G37" i="13"/>
  <c r="F271" i="6"/>
  <c r="D272" i="6"/>
  <c r="E37" i="13"/>
  <c r="C5" i="16"/>
  <c r="D271" i="6"/>
  <c r="G41" i="8"/>
  <c r="U9" i="8" s="1"/>
  <c r="P41" i="8"/>
  <c r="R41" i="8"/>
  <c r="H29" i="8"/>
  <c r="H41" i="8" s="1"/>
  <c r="K41" i="8"/>
  <c r="F58" i="17"/>
  <c r="E58" i="17" s="1"/>
  <c r="E65" i="17"/>
  <c r="F12" i="17"/>
  <c r="F65" i="17" s="1"/>
  <c r="H38" i="13" l="1"/>
  <c r="F38" i="13"/>
  <c r="F39" i="13"/>
  <c r="F273" i="6"/>
  <c r="F4" i="16"/>
  <c r="G38" i="13"/>
  <c r="F277" i="6"/>
  <c r="F285" i="6" s="1"/>
  <c r="E38" i="13"/>
  <c r="D273" i="6"/>
  <c r="D277" i="6"/>
  <c r="D4" i="16"/>
  <c r="G285" i="6" l="1"/>
  <c r="H39" i="13"/>
  <c r="E285" i="6"/>
  <c r="U6" i="8" s="1"/>
  <c r="F286" i="6"/>
  <c r="G39" i="13"/>
  <c r="E39" i="13"/>
  <c r="D285" i="6"/>
  <c r="D286" i="6" s="1"/>
  <c r="G286" i="6" l="1"/>
  <c r="U7" i="8"/>
  <c r="E286" i="6"/>
  <c r="U8" i="8" l="1"/>
  <c r="U10" i="8" s="1"/>
  <c r="V7" i="8"/>
  <c r="V6" i="8"/>
  <c r="Q41" i="8"/>
  <c r="U31" i="8"/>
  <c r="U32" i="8"/>
  <c r="U33" i="8"/>
  <c r="U34" i="8"/>
  <c r="V8" i="8" l="1"/>
  <c r="T10" i="8"/>
  <c r="U11" i="8"/>
  <c r="U12" i="8" s="1"/>
  <c r="M41" i="8"/>
  <c r="L41" i="8" l="1"/>
  <c r="O41" i="8"/>
  <c r="D288" i="6" s="1"/>
  <c r="C95" i="16" s="1"/>
  <c r="T41" i="8"/>
  <c r="C15" i="16" s="1"/>
  <c r="U30" i="8"/>
  <c r="U29" i="8"/>
  <c r="E15" i="13" l="1"/>
  <c r="E11" i="13" s="1"/>
  <c r="F11" i="13" s="1"/>
  <c r="D290" i="6"/>
  <c r="C93" i="16" s="1"/>
  <c r="C99" i="16" s="1"/>
  <c r="E15" i="16"/>
  <c r="F16" i="16" s="1"/>
  <c r="F18" i="16" s="1"/>
  <c r="N41" i="8"/>
  <c r="D289" i="6" s="1"/>
  <c r="C94" i="16" s="1"/>
  <c r="S41" i="8"/>
  <c r="F290" i="6" s="1"/>
  <c r="D16" i="16"/>
  <c r="D18" i="16" s="1"/>
  <c r="E17" i="13" l="1"/>
  <c r="C98" i="16"/>
  <c r="C100" i="16" s="1"/>
  <c r="D100" i="16" s="1"/>
  <c r="D105" i="16" s="1"/>
  <c r="D107" i="16" s="1"/>
  <c r="E16" i="13"/>
  <c r="D291" i="6"/>
  <c r="D295" i="6" s="1"/>
  <c r="B302" i="6" s="1"/>
  <c r="E60" i="17"/>
  <c r="F60" i="17" s="1"/>
  <c r="E93" i="16"/>
  <c r="E99" i="16" s="1"/>
  <c r="F17" i="13"/>
  <c r="F288" i="6"/>
  <c r="F289" i="6"/>
  <c r="F357" i="7"/>
  <c r="E359" i="7" s="1"/>
  <c r="F21" i="16"/>
  <c r="D21" i="16" s="1"/>
  <c r="D20" i="16"/>
  <c r="F61" i="17"/>
  <c r="E61" i="17" s="1"/>
  <c r="E18" i="13" l="1"/>
  <c r="E353" i="7"/>
  <c r="D296" i="6"/>
  <c r="D302" i="6"/>
  <c r="D305" i="6" s="1"/>
  <c r="D650" i="6"/>
  <c r="E652" i="6" s="1"/>
  <c r="F16" i="13"/>
  <c r="E94" i="16"/>
  <c r="E95" i="16"/>
  <c r="F15" i="13"/>
  <c r="F291" i="6"/>
  <c r="F295" i="6" s="1"/>
  <c r="F358" i="7"/>
  <c r="C362" i="7"/>
  <c r="E362" i="7" s="1"/>
  <c r="G357" i="7"/>
  <c r="I33" i="16"/>
  <c r="F8" i="13"/>
  <c r="D23" i="16"/>
  <c r="F23" i="16" s="1"/>
  <c r="D108" i="16"/>
  <c r="V95" i="7"/>
  <c r="V108" i="7" s="1"/>
  <c r="V79" i="7"/>
  <c r="E655" i="6" l="1"/>
  <c r="E659" i="6" s="1"/>
  <c r="F18" i="13"/>
  <c r="E98" i="16"/>
  <c r="E100" i="16" s="1"/>
  <c r="F100" i="16" s="1"/>
  <c r="F105" i="16" s="1"/>
  <c r="F107" i="16" s="1"/>
  <c r="J33" i="16" s="1"/>
  <c r="K33" i="16" s="1"/>
  <c r="F302" i="6"/>
  <c r="F296" i="6"/>
  <c r="E376" i="7"/>
  <c r="F390" i="7" s="1"/>
  <c r="V98" i="7"/>
  <c r="V99" i="7"/>
  <c r="V82" i="7"/>
  <c r="V90" i="7"/>
  <c r="F363" i="7"/>
  <c r="F364" i="7" s="1"/>
  <c r="D24" i="16"/>
  <c r="V107" i="7"/>
  <c r="V110" i="7" s="1"/>
  <c r="V91" i="7"/>
  <c r="V83" i="7"/>
  <c r="V92" i="7" l="1"/>
  <c r="F108" i="16"/>
  <c r="F24" i="16" s="1"/>
  <c r="L33" i="16"/>
  <c r="E660" i="6"/>
  <c r="D665" i="6"/>
  <c r="F305" i="6"/>
  <c r="F393" i="7"/>
  <c r="V101" i="7"/>
  <c r="F57" i="17" s="1"/>
  <c r="E57" i="17" s="1"/>
  <c r="E365" i="7"/>
  <c r="F367" i="7" s="1"/>
  <c r="F370" i="7" s="1"/>
  <c r="D303" i="6" s="1"/>
  <c r="F19" i="16" s="1"/>
  <c r="F22" i="16" s="1"/>
  <c r="V84" i="7"/>
  <c r="G363" i="7"/>
  <c r="F303" i="6" l="1"/>
  <c r="F304" i="6"/>
  <c r="G24" i="16"/>
  <c r="H24" i="16" s="1"/>
  <c r="E661" i="6"/>
  <c r="B661" i="6"/>
  <c r="F59" i="17"/>
  <c r="E59" i="17" s="1"/>
  <c r="E62" i="17" s="1"/>
  <c r="G8" i="13"/>
  <c r="E6" i="13"/>
  <c r="D304" i="6"/>
  <c r="F6" i="13" s="1"/>
  <c r="F62" i="17" l="1"/>
  <c r="F66" i="17" s="1"/>
  <c r="E66" i="17" s="1"/>
  <c r="E67" i="17" s="1"/>
  <c r="F20" i="16"/>
  <c r="F67" i="17" l="1"/>
  <c r="X5" i="7" s="1"/>
  <c r="E8" i="13"/>
  <c r="X16" i="7" l="1"/>
  <c r="X31" i="7"/>
  <c r="X32" i="7"/>
  <c r="Y32" i="7" s="1"/>
  <c r="X33" i="7"/>
  <c r="X17" i="7"/>
  <c r="X18" i="7" l="1"/>
  <c r="Y16" i="7"/>
  <c r="Y8" i="7" s="1"/>
  <c r="X8" i="7"/>
  <c r="Y31" i="7"/>
  <c r="X34" i="7"/>
  <c r="X10" i="7"/>
  <c r="Y33" i="7"/>
  <c r="Y10" i="7" s="1"/>
  <c r="X9" i="7"/>
  <c r="Y17" i="7"/>
  <c r="Y9" i="7" s="1"/>
  <c r="X11" i="7" l="1"/>
  <c r="Y11" i="7"/>
  <c r="F68" i="17" s="1"/>
  <c r="Y34" i="7"/>
  <c r="Y18" i="7"/>
  <c r="E68" i="17" l="1"/>
  <c r="E70" i="17" s="1"/>
  <c r="E7" i="13" s="1"/>
  <c r="E10" i="13" s="1"/>
  <c r="E12" i="13" s="1"/>
  <c r="F70" i="17"/>
  <c r="F7" i="13" s="1"/>
  <c r="F10" i="13" s="1"/>
  <c r="F12" i="1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Snijder, A.J. Sr.</author>
    <author>A.J. Snijder Sr.</author>
  </authors>
  <commentList>
    <comment ref="B11" authorId="0" shapeId="0" xr:uid="{3D6D29BC-8721-4604-A01B-A9D0479FAFDB}">
      <text>
        <r>
          <rPr>
            <b/>
            <sz val="9"/>
            <color indexed="81"/>
            <rFont val="Tahoma"/>
            <family val="2"/>
          </rPr>
          <t>Tremanorm 2023-01:</t>
        </r>
        <r>
          <rPr>
            <sz val="9"/>
            <color indexed="81"/>
            <rFont val="Tahoma"/>
            <family val="2"/>
          </rPr>
          <t xml:space="preserve">
Indien (mogelijk) sprake is van een tekort aan draagkracht om in de behoefte te voorzien en de onderhoudsgerechtigde voldoende onderbouwd stelt dat de werkelijke woonlasten van een onderhoudsplichtige duurzaam aanmerkelijk lager zijn dan het woonbudget, bijvoorbeeld omdat deze samenwoont, ligt het op de weg van de onderhoudsplichtige om inzicht te geven in de eigen werkelijke woonlasten. 
Er kan dan reden zijn om met een lager bedrag dan het woonbudget te rekenen. 
Indien de onderhoudsplichtige samenwoont met een nieuwe partner is bij de beoordeling of bij de onderhoudsplichtige sprake is van een duurzaam aanmerkelijk lagere werkelijke woonlast het uitgangspunt dat de partner de helft van de gezamenlijke woonlast kan dragen.</t>
        </r>
      </text>
    </comment>
    <comment ref="B20" authorId="1" shapeId="0" xr:uid="{00000000-0006-0000-0000-000001000000}">
      <text>
        <r>
          <rPr>
            <sz val="9"/>
            <color indexed="81"/>
            <rFont val="Tahoma"/>
            <family val="2"/>
          </rPr>
          <t>Voor kinderalimentatie blijft NBI ten tijde van relatie gelden, tenzij één ouder nu meer verdiend dan het totale NBI bij scheiding</t>
        </r>
      </text>
    </comment>
    <comment ref="B88" authorId="1" shapeId="0" xr:uid="{51D3A50A-1657-490E-AE39-9BA8635B6B77}">
      <text>
        <r>
          <rPr>
            <b/>
            <sz val="9"/>
            <color indexed="81"/>
            <rFont val="Tahoma"/>
            <family val="2"/>
          </rPr>
          <t>Betreft hier aanvullende, collectief door de werkgeven ingehouden WAO/WIA-gat premie (zoals AP/AOP)</t>
        </r>
      </text>
    </comment>
    <comment ref="B99" authorId="1" shapeId="0" xr:uid="{1FFC67C7-EB4B-4197-AAFC-4AA83D1B192C}">
      <text>
        <r>
          <rPr>
            <b/>
            <sz val="9"/>
            <color indexed="81"/>
            <rFont val="Tahoma"/>
            <family val="2"/>
          </rPr>
          <t>Betreft hier aanvullende, collectief door de werkgeven ingehouden WAO/WIA-gat premie (zoals AP/AOP)</t>
        </r>
      </text>
    </comment>
    <comment ref="B110" authorId="1" shapeId="0" xr:uid="{00000000-0006-0000-0000-000007000000}">
      <text>
        <r>
          <rPr>
            <sz val="9"/>
            <color indexed="81"/>
            <rFont val="Tahoma"/>
            <family val="2"/>
          </rPr>
          <t>Betreft hier aanvullende, collectief door de werkgever ingehouden WAO/WIA-gat premie (zoals AP/AOP)</t>
        </r>
      </text>
    </comment>
    <comment ref="F293" authorId="1" shapeId="0" xr:uid="{00000000-0006-0000-0000-00000A000000}">
      <text>
        <r>
          <rPr>
            <sz val="9"/>
            <color indexed="81"/>
            <rFont val="Tahoma"/>
            <family val="2"/>
          </rPr>
          <t>Bijv. extra ZKV premie</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<sst xmlns="http://schemas.openxmlformats.org/spreadsheetml/2006/main" count="2166" uniqueCount="1135">
  <si>
    <t>Maximaal</t>
  </si>
  <si>
    <t>Jaarloon</t>
  </si>
  <si>
    <t>Bruto jaarloon</t>
  </si>
  <si>
    <t>Alimentatie</t>
  </si>
  <si>
    <t>Kinderalimentatie</t>
  </si>
  <si>
    <t>Werknemersaftrek</t>
  </si>
  <si>
    <t>Fietsaftrek (vervallen)</t>
  </si>
  <si>
    <t>Zeedagenaftrek (vervallen)</t>
  </si>
  <si>
    <t>Nr</t>
  </si>
  <si>
    <t>Winst uit onderneming</t>
  </si>
  <si>
    <t>Aftrekbeperkingen</t>
  </si>
  <si>
    <t>Investeringsaftrek</t>
  </si>
  <si>
    <t>Scholingsaftrek (vervallen)</t>
  </si>
  <si>
    <t>Ondernemersaftrek</t>
  </si>
  <si>
    <t>Belastbaar loon:</t>
  </si>
  <si>
    <t>Winst uit onderneming:</t>
  </si>
  <si>
    <t>Meewerkaftrek</t>
  </si>
  <si>
    <t>Belastbare winst uit onderneming:</t>
  </si>
  <si>
    <t>A</t>
  </si>
  <si>
    <t>Resultaat uit overige werkzaamheden</t>
  </si>
  <si>
    <t>Belastbaar resultaat uit overige werkzaamheden:</t>
  </si>
  <si>
    <t>Periodieke uitkeringen en verstrekkingen</t>
  </si>
  <si>
    <t>Aftrekbare kosten (vervallen)</t>
  </si>
  <si>
    <t>Belastbare periodieke uitkeringen en verstrekkingen:</t>
  </si>
  <si>
    <t>Premies voor lijfrenten</t>
  </si>
  <si>
    <t>Premies voor uitkering bij invaliditeit, ziekte of ongeval</t>
  </si>
  <si>
    <t>Premies WAZ (vervallen)</t>
  </si>
  <si>
    <t>Uitgaven voor inkomensvoorziening:</t>
  </si>
  <si>
    <t>Persoonsgebonden aftrek:</t>
  </si>
  <si>
    <t>Inkomensheffing Box 1:</t>
  </si>
  <si>
    <t>BOX II: Inkomen uit aanmerkelijk belang</t>
  </si>
  <si>
    <t>BOX III: Inkomen uit sparen en beleggen</t>
  </si>
  <si>
    <t>Vervreemdingsvoordelen (vervallen)</t>
  </si>
  <si>
    <t>Werkelijke of in redelijkheid te verwerven inkomsten (na aftrek van kosten) uit:</t>
  </si>
  <si>
    <t>Persoonsgebonden aftrek (het niet in box I benutte deel)</t>
  </si>
  <si>
    <t>Heffingskorting</t>
  </si>
  <si>
    <t>- inkomensonafhankelijke combinatiekorting</t>
  </si>
  <si>
    <t>- ouderenkorting</t>
  </si>
  <si>
    <t>Onbelast deel waarde vakantiebonnen</t>
  </si>
  <si>
    <t>119a</t>
  </si>
  <si>
    <t>119b</t>
  </si>
  <si>
    <t>Woonlasten</t>
  </si>
  <si>
    <t>Lasten</t>
  </si>
  <si>
    <t>Kosten kinderopvang</t>
  </si>
  <si>
    <t>Premie begrafenisverzekering (vervallen)</t>
  </si>
  <si>
    <t>Kosten omgangsregeling</t>
  </si>
  <si>
    <t>Andere bijzondere kosten</t>
  </si>
  <si>
    <t>Werkelijke verwervingskosten</t>
  </si>
  <si>
    <t>Aflossing schulden</t>
  </si>
  <si>
    <t>Herinrichtingskosten</t>
  </si>
  <si>
    <t>Overige kosten</t>
  </si>
  <si>
    <t>Draagkrachtruimte</t>
  </si>
  <si>
    <t xml:space="preserve">Alimentatieverplichting (eerdere) ex-partner </t>
  </si>
  <si>
    <t>Voordeel i.v.m. uitgaven voor levensonderhoud van kinderen (vervallen)</t>
  </si>
  <si>
    <t>Per maand</t>
  </si>
  <si>
    <t>Totaal</t>
  </si>
  <si>
    <t>- huurtoeslag</t>
  </si>
  <si>
    <t>Draagkracht</t>
  </si>
  <si>
    <t>Totale woonlasten:</t>
  </si>
  <si>
    <t>Belaste onkostenvergoeding</t>
  </si>
  <si>
    <t>Bruto pensioen (vakantietoeslag niet altijd inbegrepen)</t>
  </si>
  <si>
    <t>Ingehouden pensioenpremie</t>
  </si>
  <si>
    <t>VUT / FPU-premie e.d.</t>
  </si>
  <si>
    <t>Premie WW</t>
  </si>
  <si>
    <t>Premie arbeidsongeschiktheidsverzekering i.v.m. reparatie WAO/WIA-gat (collectieve regeling, premie ingehouden door werkgever)</t>
  </si>
  <si>
    <t>Aanvullende pensioenpremie / premie reparatie WAO/WIA gat (ingehouden door werkgever)</t>
  </si>
  <si>
    <t>Premie Zorgverzekeringswet</t>
  </si>
  <si>
    <t>Belaste bijdrage in ziektekosten</t>
  </si>
  <si>
    <t>Niet hoger dan</t>
  </si>
  <si>
    <t>-</t>
  </si>
  <si>
    <t>NA</t>
  </si>
  <si>
    <t>Omschrijving</t>
  </si>
  <si>
    <t>Bruto salaris</t>
  </si>
  <si>
    <t>(Vaste) toelage</t>
  </si>
  <si>
    <t>+</t>
  </si>
  <si>
    <t>Premies werknemersverzekeringen (NB Premie-inkomensgrens)</t>
  </si>
  <si>
    <t>Alternatief</t>
  </si>
  <si>
    <t>(a)</t>
  </si>
  <si>
    <t>Percentage</t>
  </si>
  <si>
    <t>(b)</t>
  </si>
  <si>
    <t>(d)</t>
  </si>
  <si>
    <t xml:space="preserve">(e) </t>
  </si>
  <si>
    <t xml:space="preserve">(c) </t>
  </si>
  <si>
    <t>(f)</t>
  </si>
  <si>
    <t>(g)</t>
  </si>
  <si>
    <t>(h)</t>
  </si>
  <si>
    <t>Verblijfskosten kinderen (Zorgkorting)</t>
  </si>
  <si>
    <t>Eigen aandeel kosten kinderen</t>
  </si>
  <si>
    <t>Leeftijd kind</t>
  </si>
  <si>
    <t>Algemene gegevens</t>
  </si>
  <si>
    <t>Naam</t>
  </si>
  <si>
    <t>Loon per:</t>
  </si>
  <si>
    <t>Maand</t>
  </si>
  <si>
    <t>4 Weken</t>
  </si>
  <si>
    <t>Anders</t>
  </si>
  <si>
    <t>Totaal per jaar</t>
  </si>
  <si>
    <t>Koopwoning</t>
  </si>
  <si>
    <t>WOZ-waarde
meer dan</t>
  </si>
  <si>
    <t>WOZ-waarde
niet meer dan</t>
  </si>
  <si>
    <t>Bedrag forfait</t>
  </si>
  <si>
    <t>Plus vast bedrag</t>
  </si>
  <si>
    <t>Eigenwoning- forfait</t>
  </si>
  <si>
    <t>Onderdeel</t>
  </si>
  <si>
    <t>WOZ waarde eigen woning</t>
  </si>
  <si>
    <t>Geboortedatum</t>
  </si>
  <si>
    <t>Ja / Nee</t>
  </si>
  <si>
    <t>Ja</t>
  </si>
  <si>
    <t>Nee</t>
  </si>
  <si>
    <t>https://www.belastingdienst.nl/wps/wcm/connect/bldcontentnl/belastingdienst/prive/inkomstenbelasting/heffingskortingen_boxen_tarieven/boxen_en_tarieven/overzicht_tarieven_en_schijven/</t>
  </si>
  <si>
    <t>https://www.belastingdienst.nl/wps/wcm/connect/nl/koopwoning/content/hoe-werkt-eigenwoningforfait</t>
  </si>
  <si>
    <t>Netto Besteedbaar Inkomen (NBI) tijdens huwelijk / samenwonen</t>
  </si>
  <si>
    <t>Samengevoegd</t>
  </si>
  <si>
    <t>Stap 1: NBI minus laagste inkomensgrens:</t>
  </si>
  <si>
    <t>Bij een Netto Besteedbaar Inkomen van:</t>
  </si>
  <si>
    <t>Stap 2: Hoogste inkomensgrens - laagste:</t>
  </si>
  <si>
    <t>Stap 3: (Stap 1 : Stap 2) * (Max. - Min.):</t>
  </si>
  <si>
    <t>Bijstandsnorm jongeren:</t>
  </si>
  <si>
    <t>A. jonger dan 21 jaar zonder kinderen:</t>
  </si>
  <si>
    <t>alleenstaande van 18, 19 of 20 jaar</t>
  </si>
  <si>
    <t>gehuwd, beide echtgenoten 18, 19 of 20 jaar</t>
  </si>
  <si>
    <t>gehuwden, een echtgenoot 18, 19 of 20 jaar, de andere 21 jaar of ouder</t>
  </si>
  <si>
    <t>B. jonger dan 21 jaar met een of meer kinderen:</t>
  </si>
  <si>
    <t>alleenstaande ouder van 18, 19 of 20 jaar</t>
  </si>
  <si>
    <t>gehuwden, beide echtgenoten 18, 19 of 20 jaar</t>
  </si>
  <si>
    <t>gehuwden, een echtgenoot 18, 19 of 20 jaar is en de andere 21 jaar of ouder</t>
  </si>
  <si>
    <t>Bijstandsnorm 21 jaar tot pensioengerechtigde leeftijd:</t>
  </si>
  <si>
    <t>Bijstandsnorm pensioengerechtigden:</t>
  </si>
  <si>
    <t>Bijstand voor wie:</t>
  </si>
  <si>
    <t>https://www.socialedienstdrechtsteden.nl/bijstand/ik-heb-een-uitkering/hoe-hoog-is-een-bijstandsuitkering</t>
  </si>
  <si>
    <t>Hoger dan</t>
  </si>
  <si>
    <t>Vast bedrag</t>
  </si>
  <si>
    <t>Totalen:</t>
  </si>
  <si>
    <t>Formules</t>
  </si>
  <si>
    <t>- arbeidskorting</t>
  </si>
  <si>
    <t>- algemene heffingskorting</t>
  </si>
  <si>
    <t>Rendementsgrondslag</t>
  </si>
  <si>
    <t>Geen</t>
  </si>
  <si>
    <r>
      <t xml:space="preserve">    </t>
    </r>
    <r>
      <rPr>
        <u/>
        <sz val="10"/>
        <color rgb="FF000000"/>
        <rFont val="Verdana"/>
        <family val="2"/>
      </rPr>
      <t>U bent co-ouder in de volgende gevallen:</t>
    </r>
  </si>
  <si>
    <t>Wordt er voldaan aan de onderstaande voorwaarden?</t>
  </si>
  <si>
    <t>- alleenstaande ouderenkorting (AOW-ers)</t>
  </si>
  <si>
    <t>https://www.belastingdienst.nl/wps/wcm/connect/bldcontentnl/belastingdienst/prive/inkomstenbelasting/heffingskortingen_boxen_tarieven/heffingskortingen/heffingskortingen_voor_aow_gerechtigden</t>
  </si>
  <si>
    <t>In het jaar van aangifte geen of een gedeeltelijke AOW-uitkering voor een alleenstaande krijgt, omdat u vóór de AOW-leeftijd in het buitenland woonde</t>
  </si>
  <si>
    <t>of erkend gemoedsbezwaarde bent en daarom geen (volledig) recht op een AOW-uitkering hebt opgebouwd</t>
  </si>
  <si>
    <t>Waarde</t>
  </si>
  <si>
    <t>Inkomsten uit arbeid?</t>
  </si>
  <si>
    <t>Bruto maandlast</t>
  </si>
  <si>
    <t>https://www.rijksoverheid.nl/onderwerpen/zorgverzekering/vraag-en-antwoord/eigen-risico-zorgverzekering</t>
  </si>
  <si>
    <t>Uitkering per</t>
  </si>
  <si>
    <t>Bruto WW, WAO/WIA of AOW uitkering</t>
  </si>
  <si>
    <t>Bruto uitkering</t>
  </si>
  <si>
    <t>Vakantietoeslag</t>
  </si>
  <si>
    <t>Bruto pensioen uitkering (50)</t>
  </si>
  <si>
    <t>Eventuele vakantietoeslag</t>
  </si>
  <si>
    <t>Extra betaalde premies / Inkomensvoorziening</t>
  </si>
  <si>
    <t>Een werkgeversbijdrage in de ziektekosten (anders dan bij 57) wordt normaal gezien als belast loon. De bijdrage dan hier invullen.</t>
  </si>
  <si>
    <t>Wordt berekend over het loon per werkdag, maar dan over niet meer dan het maximum dagloon na aftrek van een franchise.</t>
  </si>
  <si>
    <t>Premie collectieve aanvullende verzekering arbeidsongeschiktheid t.b.v. reparatie van het WAO/WIA gat. Premie staat op de loonstrook</t>
  </si>
  <si>
    <t>Betreft hier aanvullende, collectief door de werkgever ingehouden WAO/WIA-gat premie (zoals premie AP/AOP)</t>
  </si>
  <si>
    <t>(nr. 41 t/m 50) - (nr. 51 t/m 53)</t>
  </si>
  <si>
    <t>(nr. 41 t/m 50)</t>
  </si>
  <si>
    <t>Dit is een lastig vast te stellen post. Mag en kan men vrijwillig stoppen? Ook al tijdens de relatie? Bij schommelingen middelen!</t>
  </si>
  <si>
    <t>Zie salarisspecificatie, het belast zijn betekend nog niet dat het dus gaat om verkapt inkomen !!</t>
  </si>
  <si>
    <t>Andere bruto arbeidsinkomsten, dit is niet van toepassing voor incidentele of al in het bruto inkomen opgenomen posten!</t>
  </si>
  <si>
    <t>Bij een ZW-uitkering van het UWV blijft recht op de Arbeidskorting bestaan.</t>
  </si>
  <si>
    <t>Uitkering in het kader van WW-, WAO/WIA- en AOW-uitkering</t>
  </si>
  <si>
    <t>Bruto pensioen uitkering (inclusief eventueel vakantiegeld)</t>
  </si>
  <si>
    <t>Ingehouden pensioenpremie op jaarbasis, zie de loonstroken</t>
  </si>
  <si>
    <t>(nr. 54) - (nr. 55 t/m 57) + nr.58</t>
  </si>
  <si>
    <r>
      <t xml:space="preserve">Alleen invullen als de bijdrage ZVW </t>
    </r>
    <r>
      <rPr>
        <b/>
        <u/>
        <sz val="11"/>
        <rFont val="Calibri"/>
        <family val="2"/>
        <scheme val="minor"/>
      </rPr>
      <t>op het loon</t>
    </r>
    <r>
      <rPr>
        <sz val="11"/>
        <rFont val="Calibri"/>
        <family val="2"/>
        <scheme val="minor"/>
      </rPr>
      <t xml:space="preserve"> van de onderhoudsplichtige wordt ingehouden. Als de werkgever/instantie deze bijdrage betaald (wordt dus niet ingehouden) 0 invullen.</t>
    </r>
  </si>
  <si>
    <t>Kosten o.b.v. OV-verklaring bij regelmatig woon-/werkverkeer en meer dan 10 km/dag, verminderd met een eventuele ontvangen vergoeding.</t>
  </si>
  <si>
    <t>(nr. 65 + 66) - (nr. 67 t/m 69)</t>
  </si>
  <si>
    <t>(nr. 70) - (nr. 71 t/m 74)</t>
  </si>
  <si>
    <t>Rente en kosten van (hypothecaire) schulden i.v.m. de eigen woning</t>
  </si>
  <si>
    <t>Verdeling van deze posten over:</t>
  </si>
  <si>
    <t>Premies voor lijfrente ter compensatie van een pensioentekort zijn in bepaalde omstandigheden aftrekbaar</t>
  </si>
  <si>
    <t>Deze premies zijn geheel aftrekbaar</t>
  </si>
  <si>
    <t>(nr.86 t/m 88)</t>
  </si>
  <si>
    <t xml:space="preserve"> (nr.64 + 75 + 78 + 81 + 85) - (nr. 89 + 90 + 93) </t>
  </si>
  <si>
    <t>Reisaftrek (alleen bij regelmatig OV reizen  &gt; 10 km minus vergoeding)</t>
  </si>
  <si>
    <t>Let op de inkomensafhankelijke drempel! Zie voor details https://www.belastingdienst.nl</t>
  </si>
  <si>
    <t>Voor het juist bepalen van deze post is vaak gedegen kennis vereist</t>
  </si>
  <si>
    <t>Toeslagen (o.a. ouderentoeslag)</t>
  </si>
  <si>
    <t>(nr.105) - (nr. 106 t/m 107)</t>
  </si>
  <si>
    <t>Schijf</t>
  </si>
  <si>
    <t>Jaar</t>
  </si>
  <si>
    <t>zonder fiscale partner</t>
  </si>
  <si>
    <t>met fiscale partner</t>
  </si>
  <si>
    <r>
      <t>Heffingsvrij vermogen kan worden verhoogd bij groene beleggingen (</t>
    </r>
    <r>
      <rPr>
        <sz val="11"/>
        <color rgb="FFFF0000"/>
        <rFont val="Calibri"/>
        <family val="2"/>
        <scheme val="minor"/>
      </rPr>
      <t>niet opgenomen in tabel Basisgegevens</t>
    </r>
    <r>
      <rPr>
        <sz val="11"/>
        <rFont val="Calibri"/>
        <family val="2"/>
        <scheme val="minor"/>
      </rPr>
      <t>)</t>
    </r>
  </si>
  <si>
    <t>U betaalt belasting over uw inkomen uit uw vermogen: De zogenoemde grondslag sparen en beleggen (box 3). Dat is de waarde van uw bezittingen min uw schulden op 1 januari van het jaar waarover u aangifte doet, min uw heffingsvrij vermogen. Wij belasten niet de werkelijke opbrengst, maar een percentage van de waarde van de grondslag sparen en beleggen.</t>
  </si>
  <si>
    <t>Komt in plaats van post 41 als er sprake in van loon en vakantiebonnen, dit Inkomen kan niet zonder meer uit de salarisspecificatie worden afgelezen maar moet worden berekend!</t>
  </si>
  <si>
    <t>Arbeidsinkomen:</t>
  </si>
  <si>
    <t>Arbeidsinkomen</t>
  </si>
  <si>
    <t>Verzamelinkomen:</t>
  </si>
  <si>
    <t>= nr.94</t>
  </si>
  <si>
    <t>Huidig berekeningsjaar is:</t>
  </si>
  <si>
    <t>AOW-jaar:</t>
  </si>
  <si>
    <r>
      <t xml:space="preserve">U krijgt de ouderenkorting als u: </t>
    </r>
    <r>
      <rPr>
        <u/>
        <sz val="10"/>
        <color rgb="FF000000"/>
        <rFont val="Verdana"/>
        <family val="2"/>
      </rPr>
      <t>Op 31-12 van het jaar van berekening de AOW leeftijd hebt.</t>
    </r>
  </si>
  <si>
    <t>Verschuldigde belasting:</t>
  </si>
  <si>
    <t>Geboren voor:</t>
  </si>
  <si>
    <t>Belasting</t>
  </si>
  <si>
    <t>Drempelinkomen:</t>
  </si>
  <si>
    <t>Verzamelinkomen: Optelsom van de inkomens uit de 3 boxen min de aftrekposten, exclusief de persoonsgebonden aftrek in box 1, 2 en/of 3</t>
  </si>
  <si>
    <t>Te betalen belasting (samengesteld uit de onderstaande 4 tariefsoorten (niet AOW / Geboren voor of juist op/na 01-01-1946 / In berekeningsjaar pas recht op AOW</t>
  </si>
  <si>
    <t>= nr.94 - (nr. 77, 99 en 110)</t>
  </si>
  <si>
    <t>Forfaitaire bedragen</t>
  </si>
  <si>
    <t>Code</t>
  </si>
  <si>
    <t>Toelichting / uitleg / Wetenwaardigheden</t>
  </si>
  <si>
    <t>+/-</t>
  </si>
  <si>
    <t>Opmerkingen</t>
  </si>
  <si>
    <t>Geldt onder meer als men, al dan niet tezamen met zijn partner, direct of indirect voor tenminste 5% van het geplaatste kapitaal aandeelhouder is.</t>
  </si>
  <si>
    <t>(nr.96 + nr.98 - nr. 99)</t>
  </si>
  <si>
    <t>Inkomsten uit arbeid:</t>
  </si>
  <si>
    <t>Vaste tarief inkomstenbelasting in box II</t>
  </si>
  <si>
    <t>Bij AOW-ers is er de ouderentoeslag mits de gemiddelde rendements- grondslag niet hoger is dan een in de wet vastgesteld bedrag en is afhankelijk van het inkomen in Box 1</t>
  </si>
  <si>
    <t>Vaste tarief inkomstenbelasting in box III</t>
  </si>
  <si>
    <t>Berekenings- en belasting percentages</t>
  </si>
  <si>
    <t>Inkomensheffing box I en inkomensbelasting box II en III</t>
  </si>
  <si>
    <t>(nr.95 + nr.101 + nr.112)</t>
  </si>
  <si>
    <t>(nr.109 - nr.110)</t>
  </si>
  <si>
    <t>Belastbaar inkomen uit sparen en beleggen (Box III):</t>
  </si>
  <si>
    <t>Belastbaar inkomen uit aanmerkelijk belang (Box II):</t>
  </si>
  <si>
    <t>Vervallen</t>
  </si>
  <si>
    <t>Onderwerp / Onderdeel</t>
  </si>
  <si>
    <t>BOX I: Inkomen uit woning en werk</t>
  </si>
  <si>
    <t>(nr. 115 alle posten)</t>
  </si>
  <si>
    <t>(nr.114 - nr.116)</t>
  </si>
  <si>
    <t>Bij verstrekking van vakantiebonnen hier (als het niet om een WW-uitkering gaat) de onbelaste waarde hiervan opgeven . Dit onbelaste deel komt niet voor op de jaaropgaaf van de werkgever. Zie 45 en 60.</t>
  </si>
  <si>
    <t>Besteedbaar inkomen per jaar, voor aftrek van de verschuldigde inkomensafhankelijke bijdrage ZVW</t>
  </si>
  <si>
    <t>(nr.120 / 12)</t>
  </si>
  <si>
    <t>De werkelijke woonlasten zijn: Kale huur + evt. servicekosten zoals bijdragen in het elektriciteitsverbruik van lift en in het schoonhouden van gemeenschappelijke ruimten.</t>
  </si>
  <si>
    <t>Bedrag waarop per maand recht aan huurtoeslag bestaat</t>
  </si>
  <si>
    <t>In het algemeen is met de noodzakelijke kosten van kinderopvang al rekening gehouden bij de bepaling van de behoefte van de kinderen.</t>
  </si>
  <si>
    <t>Bijvoorbeeld: Autokosten, indien deze sociaal en/of medisch noodzakelijk zijn, terwijl daarvoor geen vergoeding kan worden verkregen.</t>
  </si>
  <si>
    <t>Betaling van rente en aflossing op schulden, aangegaan t.b.v. de gemeenschappelijke huishouding ten tijde van de relatie en andere uit die tijd stammende verplichtingen wordt altijd in aanmerking genomen</t>
  </si>
  <si>
    <t xml:space="preserve">Geldt voor degene die aan zijn ex-partner de inboedel laat, is wel afhankelijk van de omstandigheden (o.a. kinderalimentatie), maar als de noodzaak van herinrichting vaststaat en de kosten niet uit spaargeld kunnen worden voldaan, kan een schuld van maximaal € 5.500,- met verplichting van € 125,-/maand in het algemeen redelijk worden geacht. </t>
  </si>
  <si>
    <t>Voor de verwerking van kosten verbonden aan de zorgregeling, zie paragraaf 5.2.2.</t>
  </si>
  <si>
    <t>(nr.122 t/m nr.134)</t>
  </si>
  <si>
    <t>(nr.121 - nr.135)</t>
  </si>
  <si>
    <t>De Expertgroep beveelt aan om de partneralimentatie hier af te trekken en niet vóór de berekening van het besteedbaar inkomen</t>
  </si>
  <si>
    <t>(nr.140 - nr.141)</t>
  </si>
  <si>
    <t>Nr.</t>
  </si>
  <si>
    <t>Pensioenpremie</t>
  </si>
  <si>
    <t>Stap</t>
  </si>
  <si>
    <t xml:space="preserve">(NA) heeft dus een nieuwe waarde gekregen, </t>
  </si>
  <si>
    <t>Ga naar stap</t>
  </si>
  <si>
    <t>Is (BI) kleiner dan of gelijk aan</t>
  </si>
  <si>
    <t>Is (BI) kleiner dan of gelijk aan?</t>
  </si>
  <si>
    <t>Factor</t>
  </si>
  <si>
    <t>(post 94, evt. verminderd na verhoging van persoonsgebonden aftrek op grond van 139)</t>
  </si>
  <si>
    <t>(P)</t>
  </si>
  <si>
    <t>De netto alimentatie (NA)  per jaar</t>
  </si>
  <si>
    <t>Drempelbedrag</t>
  </si>
  <si>
    <t>(NA)</t>
  </si>
  <si>
    <t>Bedragen</t>
  </si>
  <si>
    <t>Eindbedragen</t>
  </si>
  <si>
    <t>Bereken (NA) - (P)</t>
  </si>
  <si>
    <t>(NA) heeft dus een nieuwe waarde gekregen,</t>
  </si>
  <si>
    <t>Transport BI:</t>
  </si>
  <si>
    <t xml:space="preserve"> Belasting bij kinderalimentatie</t>
  </si>
  <si>
    <t>Vanaf</t>
  </si>
  <si>
    <t>n.v.t</t>
  </si>
  <si>
    <t>Beschikbaar voor partner en kinderalimentatie</t>
  </si>
  <si>
    <t>Zorgkorting</t>
  </si>
  <si>
    <t>Getal</t>
  </si>
  <si>
    <t>Geboren op</t>
  </si>
  <si>
    <r>
      <t xml:space="preserve">Ink.afh. Combinatiekorting </t>
    </r>
    <r>
      <rPr>
        <b/>
        <u/>
        <sz val="11"/>
        <color rgb="FFFF0000"/>
        <rFont val="Calibri"/>
        <family val="2"/>
        <scheme val="minor"/>
      </rPr>
      <t>(AOW-ers)</t>
    </r>
  </si>
  <si>
    <r>
      <t xml:space="preserve">Ink.afh. Combinatiekorting </t>
    </r>
    <r>
      <rPr>
        <b/>
        <u/>
        <sz val="11"/>
        <color rgb="FFFF0000"/>
        <rFont val="Calibri"/>
        <family val="2"/>
        <scheme val="minor"/>
      </rPr>
      <t>(Werkende)</t>
    </r>
  </si>
  <si>
    <t>Kindgebonden budget t.t.v. de relatie</t>
  </si>
  <si>
    <t>Netto Besteedbaar Inkomen (NBI):</t>
  </si>
  <si>
    <t>Na de scheiding:</t>
  </si>
  <si>
    <t>Aantoonbare extra kosten</t>
  </si>
  <si>
    <t>Ten tijde van de relatie ontvangen/betaald:</t>
  </si>
  <si>
    <t>Naam van het kind</t>
  </si>
  <si>
    <t>Leeftijd (nu)</t>
  </si>
  <si>
    <t>Totaal kosten kinderen</t>
  </si>
  <si>
    <t>Aantoon- bare extra kosten</t>
  </si>
  <si>
    <t>Korting</t>
  </si>
  <si>
    <t>Zorgkor- tings %</t>
  </si>
  <si>
    <t>Aant.</t>
  </si>
  <si>
    <t>Draagkrachtvergelijking / Verdeling van de kosten</t>
  </si>
  <si>
    <t>VUT / FPU premie</t>
  </si>
  <si>
    <t>Aanv. Ingeh. premie inkomensvoorz.</t>
  </si>
  <si>
    <t>Arbeidsongeschiktheidsverz. WAO/WIA gat</t>
  </si>
  <si>
    <t>Bijdrage werkgever in ziektekosten</t>
  </si>
  <si>
    <t>Eigen woning</t>
  </si>
  <si>
    <t>Inkomensvoorzieningen</t>
  </si>
  <si>
    <t>Heffingen BOX 1</t>
  </si>
  <si>
    <t>(transport)</t>
  </si>
  <si>
    <t>Premies</t>
  </si>
  <si>
    <t>Loon</t>
  </si>
  <si>
    <t>Loon voor de premies werknemersverzekeringen:</t>
  </si>
  <si>
    <t>65b</t>
  </si>
  <si>
    <t>(nr.76 + nr.77)</t>
  </si>
  <si>
    <t>(nr.79 - nr.80)</t>
  </si>
  <si>
    <t>(nr.81 + nr.82) (Post 93 telt NIET mee voor het drempelinkomen !!!)</t>
  </si>
  <si>
    <t>Werkelijke vermogensinkomsten:</t>
  </si>
  <si>
    <t>Besteedbaar inkomen</t>
  </si>
  <si>
    <t>(nr. 82) - (nr.83 t/m 84)</t>
  </si>
  <si>
    <t>Inkomen na aftrek van inkomensheffing:</t>
  </si>
  <si>
    <t>- Bijstandsuitkering</t>
  </si>
  <si>
    <t>Netto uitkering</t>
  </si>
  <si>
    <t>Totaal Netto uitgaven:</t>
  </si>
  <si>
    <t>Standaard heffingskorting:</t>
  </si>
  <si>
    <t>Draagkrachtloos inkomen</t>
  </si>
  <si>
    <t>124a</t>
  </si>
  <si>
    <t>124b</t>
  </si>
  <si>
    <t>124c</t>
  </si>
  <si>
    <t>Bruto uitkering Soc. Verz. Wetten</t>
  </si>
  <si>
    <t>Totaal / jaar</t>
  </si>
  <si>
    <t>Totaal gezamelijke draagkracht:</t>
  </si>
  <si>
    <t>Draag-kracht per kind</t>
  </si>
  <si>
    <t>Zie tabblad Behoeftetabel</t>
  </si>
  <si>
    <t>K.A</t>
  </si>
  <si>
    <t>Z.K.</t>
  </si>
  <si>
    <t>E.A</t>
  </si>
  <si>
    <t>Z.K</t>
  </si>
  <si>
    <t>Draagkrachtloos inkomen:</t>
  </si>
  <si>
    <t>Draagkrachtruimte:</t>
  </si>
  <si>
    <t>Eerder NBI in:</t>
  </si>
  <si>
    <t>Huidig en evt. eerder berekeningsjaar:</t>
  </si>
  <si>
    <t>Eigen aandeel ouders conform NIBUD tabel:</t>
  </si>
  <si>
    <t>Nr.141</t>
  </si>
  <si>
    <t>Beschikbaar voor partneralimentatie per jaar:</t>
  </si>
  <si>
    <t>Totaal bruto maandloon</t>
  </si>
  <si>
    <t>Vakantietoeslag (vul % in)</t>
  </si>
  <si>
    <t>Eindejaarsuitkering (vul % in)</t>
  </si>
  <si>
    <t>Besteedbaar</t>
  </si>
  <si>
    <t>Samenvatting</t>
  </si>
  <si>
    <t>Berekeningsdatum &amp; jaar</t>
  </si>
  <si>
    <t>Alimentatieberekeningsjaar</t>
  </si>
  <si>
    <t>Partijen</t>
  </si>
  <si>
    <t>Kinderen</t>
  </si>
  <si>
    <t>Ingeschreven bij:</t>
  </si>
  <si>
    <t>AG:</t>
  </si>
  <si>
    <t>AP:</t>
  </si>
  <si>
    <t>Wie?</t>
  </si>
  <si>
    <t>Behoefte van de kinderen:</t>
  </si>
  <si>
    <t>Bedrag</t>
  </si>
  <si>
    <t>NBI inkomensgrens minimumdraagkracht</t>
  </si>
  <si>
    <t>Toelichting</t>
  </si>
  <si>
    <t>Afwijkingen t.g.v. negatieve zorgkortingen</t>
  </si>
  <si>
    <t>De berekeningsdatum is vastgezet op:</t>
  </si>
  <si>
    <t>(Structurele) inkomsten uit overwerk</t>
  </si>
  <si>
    <t>Bijtelling auto (t.b.v. verzamelinkomen)</t>
  </si>
  <si>
    <t>Bijtelling volgens salarisstrook</t>
  </si>
  <si>
    <t>Eigen bijdrage</t>
  </si>
  <si>
    <t>Jaarbedrag</t>
  </si>
  <si>
    <t>Bijdrage per:</t>
  </si>
  <si>
    <t>Bijtelling auto van de zaak</t>
  </si>
  <si>
    <t>Vakantietoeslag 8%</t>
  </si>
  <si>
    <t>Uitkering per:</t>
  </si>
  <si>
    <t>Inkomen uit overwerk (hier ook vakantiegeld over per 1-1-2019)</t>
  </si>
  <si>
    <r>
      <t xml:space="preserve">Gebruik de loonstroken van een compleet jaar
</t>
    </r>
    <r>
      <rPr>
        <b/>
        <u/>
        <sz val="11"/>
        <rFont val="Calibri"/>
        <family val="2"/>
        <scheme val="minor"/>
      </rPr>
      <t>LET OP:</t>
    </r>
    <r>
      <rPr>
        <sz val="11"/>
        <rFont val="Calibri"/>
        <family val="2"/>
        <scheme val="minor"/>
      </rPr>
      <t xml:space="preserve"> Inkomsten van werknemers die vakantiebonnen ontvangen moeten bij nr. 45 worden ingevuld, niet hier!</t>
    </r>
  </si>
  <si>
    <t>Datum</t>
  </si>
  <si>
    <t>Verwerkt op</t>
  </si>
  <si>
    <t>To Do's en Wensen</t>
  </si>
  <si>
    <t>Wijzigingen</t>
  </si>
  <si>
    <t>In versie</t>
  </si>
  <si>
    <t>Winst uit onderneming (door te voeren bij Nr.113):</t>
  </si>
  <si>
    <t>Recht op Startersaftrek</t>
  </si>
  <si>
    <t>MKB Winstvrijstellings %</t>
  </si>
  <si>
    <t>Inkomen uit aanmerkelijk belang:</t>
  </si>
  <si>
    <t>104d</t>
  </si>
  <si>
    <t>Drempelbedrag schulden bij rendementsgrondslag</t>
  </si>
  <si>
    <t>Drempel</t>
  </si>
  <si>
    <t>Als belastbaar inkomen - inkomensheffing lager is dan de in 143 berekende alimentatie:</t>
  </si>
  <si>
    <t>Netto alimentatie per jaar:</t>
  </si>
  <si>
    <t>Totale som netto alimentatie en belastingvoordeel BOX I:</t>
  </si>
  <si>
    <t xml:space="preserve">Na aftrek inkomensheffing BOX I: </t>
  </si>
  <si>
    <t>Verschil:</t>
  </si>
  <si>
    <t>Overzicht t.b.v. bepalen van omrekeningsmethode naar Netto alimentatie</t>
  </si>
  <si>
    <t>Verschil van 145</t>
  </si>
  <si>
    <t>Na aftrek inkomensheffing BOX III</t>
  </si>
  <si>
    <t>Zelfstandigenaftrek? 1225 uur</t>
  </si>
  <si>
    <t>Speur- en ontwikkelingswerk: S &amp; O aftrek</t>
  </si>
  <si>
    <t>Speur- en ontwikkelingswerk: Extra aftrek</t>
  </si>
  <si>
    <t>Totaal Speur- en ontwikkelingswerk:</t>
  </si>
  <si>
    <t>Ondernemersaftrekposten</t>
  </si>
  <si>
    <t>Meegewerkte uren</t>
  </si>
  <si>
    <t>0 - 525</t>
  </si>
  <si>
    <t>525 - 875</t>
  </si>
  <si>
    <t>875 - 1225</t>
  </si>
  <si>
    <t>1225 - 1750</t>
  </si>
  <si>
    <t>1750  of meer</t>
  </si>
  <si>
    <t>% van de winst</t>
  </si>
  <si>
    <t>Aftrekbaar % van de winst:</t>
  </si>
  <si>
    <t>Verschuldigde inkomensheffing:</t>
  </si>
  <si>
    <t>(nr.113 - nr. 117)</t>
  </si>
  <si>
    <r>
      <rPr>
        <b/>
        <u/>
        <sz val="11"/>
        <rFont val="Calibri"/>
        <family val="2"/>
        <scheme val="minor"/>
      </rPr>
      <t xml:space="preserve">LET OP: </t>
    </r>
    <r>
      <rPr>
        <sz val="11"/>
        <rFont val="Calibri"/>
        <family val="2"/>
        <scheme val="minor"/>
      </rPr>
      <t xml:space="preserve"> Alleen indien van toepassing EN alleen geldig bij berekening tijdens scheiding (dan is er nog sprake van een (belasting)partner)</t>
    </r>
  </si>
  <si>
    <t>(nr.113 - nr.117 + nr.118 + nr.119a - nr.119b - nr. 89 (= alleen bij KA)</t>
  </si>
  <si>
    <t>Denk ook aan ondersteuning studerend kind / Indien aantoonbaar advocaatkosten zijn gemaakt en er geen liquide middelen (te verwachten) zijn is de aanbeveling rekening te houden met een bedrag voor noodzakelijke en redelijke rechtshulpkosten van max. € 1.368,- met een maandlast max. € 114,- gedurende ten hoogste één jaar.</t>
  </si>
  <si>
    <t>Maximale woonlasten (huur/hypotheek, G/W/E &amp; Gemeentelijke &amp; Waterschapslasten):</t>
  </si>
  <si>
    <t>Totale woonlast inclusief fiscaal voordeel:</t>
  </si>
  <si>
    <t xml:space="preserve">Gewenst maximum bedrag woonlast: </t>
  </si>
  <si>
    <t>Netto besteedbaar inkomen excl. fiscale voordelen woonlast</t>
  </si>
  <si>
    <t>Controle op redelijkheid van de woonlast:</t>
  </si>
  <si>
    <t>Verschil woonlast &amp; gewenste max. woonlast:</t>
  </si>
  <si>
    <t>Eventueel als correctie in te vullen bij 123: Korting onredelijke woonlast:</t>
  </si>
  <si>
    <t>Het (inkomens)belastingvoordeel dat verkregen wordt bij post 138 dient hier verrekend te worden.</t>
  </si>
  <si>
    <t>Draagkrachttabel tot AOW-leeftijd</t>
  </si>
  <si>
    <t>NBI vanaf</t>
  </si>
  <si>
    <t>Berekeningsformule</t>
  </si>
  <si>
    <r>
      <t>Forfait overige eigenaarslasten (</t>
    </r>
    <r>
      <rPr>
        <b/>
        <u/>
        <sz val="11"/>
        <color theme="1"/>
        <rFont val="Calibri"/>
        <family val="2"/>
        <scheme val="minor"/>
      </rPr>
      <t>eigen woning</t>
    </r>
    <r>
      <rPr>
        <sz val="11"/>
        <color theme="1"/>
        <rFont val="Calibri"/>
        <family val="2"/>
        <scheme val="minor"/>
      </rPr>
      <t>)</t>
    </r>
  </si>
  <si>
    <t>NBI inkomensgrens minimumdraagkracht:</t>
  </si>
  <si>
    <t>Draagkrachttabel vanaf AOW-leeftijd</t>
  </si>
  <si>
    <t>Berekeningsdatum vastgezet op</t>
  </si>
  <si>
    <t>Telt vanaf 1-1-2019 mee in vakantiegeldberekening</t>
  </si>
  <si>
    <t>Telt niet mee in de berekening van het vakantiegeld</t>
  </si>
  <si>
    <t>Telt mee in vakantiegeldberekening</t>
  </si>
  <si>
    <t>Is de kale huur maar inclusief de NOODZAKELIJKE servicekosten</t>
  </si>
  <si>
    <t>Invulblad voor de benodigde basisgegevens t.b.v. de alimentatieberekening</t>
  </si>
  <si>
    <t>Betreft via CAO geregelde, collectief ingehouden premie</t>
  </si>
  <si>
    <t>Individuele deelname aan collectieve WAO-gat verzekering</t>
  </si>
  <si>
    <r>
      <t xml:space="preserve">Zie </t>
    </r>
    <r>
      <rPr>
        <sz val="11"/>
        <color theme="8"/>
        <rFont val="Calibri"/>
        <family val="2"/>
        <scheme val="minor"/>
      </rPr>
      <t>https://www.belastingdienst.nl</t>
    </r>
    <r>
      <rPr>
        <sz val="11"/>
        <color theme="1"/>
        <rFont val="Calibri"/>
        <family val="2"/>
        <scheme val="minor"/>
      </rPr>
      <t xml:space="preserve"> voor informatie over deze post</t>
    </r>
  </si>
  <si>
    <r>
      <t>Zie</t>
    </r>
    <r>
      <rPr>
        <sz val="11"/>
        <color theme="8"/>
        <rFont val="Calibri"/>
        <family val="2"/>
        <scheme val="minor"/>
      </rPr>
      <t xml:space="preserve"> https://www.belastingdienst.nl</t>
    </r>
    <r>
      <rPr>
        <sz val="11"/>
        <color theme="1"/>
        <rFont val="Calibri"/>
        <family val="2"/>
        <scheme val="minor"/>
      </rPr>
      <t xml:space="preserve"> voor informatie over deze post</t>
    </r>
  </si>
  <si>
    <t>Leeftijd (o.b.v. ingevulde berekeningsdatum)</t>
  </si>
  <si>
    <t>Bruto AOW uitkering</t>
  </si>
  <si>
    <t>Zie voor de juiste bijstandsbedragen de tabel hierna</t>
  </si>
  <si>
    <t>Zie voor de juiste vakantiegeld bedragen de tabel hierna</t>
  </si>
  <si>
    <t>Is de forfaitaire woonlast zoals genoemd in de draagkrachttabel hieronder.</t>
  </si>
  <si>
    <t>Is van belang voor bepalen van het verzamelinkomen</t>
  </si>
  <si>
    <t>Zie de maandspecificatie van de pensioenuitkering(en)</t>
  </si>
  <si>
    <t>Als het eigen risico dit jaar volledig wordt betaald hier Ja invullen.</t>
  </si>
  <si>
    <t>Bedrag wordt jaarlijks vastgesteld door de overheid</t>
  </si>
  <si>
    <t>Invloed Eigen woning:</t>
  </si>
  <si>
    <r>
      <t xml:space="preserve">Geboren </t>
    </r>
    <r>
      <rPr>
        <b/>
        <sz val="11"/>
        <color rgb="FFFF0000"/>
        <rFont val="Calibri"/>
        <family val="2"/>
        <scheme val="minor"/>
      </rPr>
      <t>op/na</t>
    </r>
    <r>
      <rPr>
        <b/>
        <sz val="11"/>
        <color theme="1"/>
        <rFont val="Calibri"/>
        <family val="2"/>
        <scheme val="minor"/>
      </rPr>
      <t>:</t>
    </r>
  </si>
  <si>
    <t>Partner 2 (AG)</t>
  </si>
  <si>
    <t>Partner 1 (AP)</t>
  </si>
  <si>
    <t>Zie maandspecificatie van de betreffende uitkering(en)</t>
  </si>
  <si>
    <r>
      <t>Zelfstandigenaftrek (</t>
    </r>
    <r>
      <rPr>
        <u/>
        <sz val="11"/>
        <color theme="1"/>
        <rFont val="Calibri"/>
        <family val="2"/>
        <scheme val="minor"/>
      </rPr>
      <t>Op 1-1 AOW-er? Dan 50% !!</t>
    </r>
    <r>
      <rPr>
        <sz val="11"/>
        <color theme="1"/>
        <rFont val="Calibri"/>
        <family val="2"/>
        <scheme val="minor"/>
      </rPr>
      <t>)</t>
    </r>
  </si>
  <si>
    <t xml:space="preserve">Aftrek is als op 1-1 de AOW leeftijd is bereikt nog maar 50% </t>
  </si>
  <si>
    <t>U krijgt de inkomensafhankelijke combinatiekorting als u aan de volgende voorwaarden voldoet:</t>
  </si>
  <si>
    <t>Prio</t>
  </si>
  <si>
    <t>https://www.belastingdienst.nl/rekenhulpen/toeslagen/</t>
  </si>
  <si>
    <t xml:space="preserve">Bereken deze op: </t>
  </si>
  <si>
    <t xml:space="preserve">https://www.belastingdienst.nl/rekenhulpen/toeslagen/ </t>
  </si>
  <si>
    <t xml:space="preserve">Bereken de juiste AOW datum op: </t>
  </si>
  <si>
    <t>Belaste waarde van de vakantiebonnen</t>
  </si>
  <si>
    <t>Alternatief (= zelf handmatig berekend)</t>
  </si>
  <si>
    <t>Als weekloon n.v.t. is hier het berekende jaarbedrag invullen</t>
  </si>
  <si>
    <t>Zie hiervoor de salarisstrook</t>
  </si>
  <si>
    <t>Zie (maand)specificatie(s) van de uitkeringsinstelling(en)</t>
  </si>
  <si>
    <r>
      <t>Bruto uitkering (</t>
    </r>
    <r>
      <rPr>
        <sz val="11"/>
        <color rgb="FFFF0000"/>
        <rFont val="Calibri"/>
        <family val="2"/>
        <scheme val="minor"/>
      </rPr>
      <t>NIET zijnde Bijstand, deze bij 119a</t>
    </r>
    <r>
      <rPr>
        <sz val="11"/>
        <color theme="1"/>
        <rFont val="Calibri"/>
        <family val="2"/>
        <scheme val="minor"/>
      </rPr>
      <t>)</t>
    </r>
  </si>
  <si>
    <t>Verzamelinkomen geschoond van Eigen Woning:</t>
  </si>
  <si>
    <t>Gegevens van de kinderen</t>
  </si>
  <si>
    <t>Belastbaar inkomen in BOX I:</t>
  </si>
  <si>
    <t>Verdeling bij te weinig draagkracht</t>
  </si>
  <si>
    <t>Premies voor uitkering bij ziekte, ongeval of invaliditeit (niet aftrekbaar)</t>
  </si>
  <si>
    <t>Netto Besteedbaar Inkomen (NBI) per maand:</t>
  </si>
  <si>
    <t>Netto alimentatie (NA) volgens berekening Methode Buijs per maand :</t>
  </si>
  <si>
    <t>Netto alimentatie (NA) volgens berekening Methode Buijs per jaar :</t>
  </si>
  <si>
    <t>Is o.b.v. berekeningsdatum de AOW-leeftijd bereikt?</t>
  </si>
  <si>
    <t>Tijdvak:</t>
  </si>
  <si>
    <t>Inkomsten BOX I (excl. Alimentatie)</t>
  </si>
  <si>
    <t>Feitenlijke inkomsten BOX II en BOX III</t>
  </si>
  <si>
    <t>Onbelast inkomen</t>
  </si>
  <si>
    <t>Te ontvangen alimentatie</t>
  </si>
  <si>
    <t>Eigen aandeel</t>
  </si>
  <si>
    <t>De tabellen voor de KA kennen een schaal vanaf € 1000 tot en met € 6000, deze wordt normaal aangehouden</t>
  </si>
  <si>
    <t>Belastbaar per jaar</t>
  </si>
  <si>
    <t>Heffingskortingen</t>
  </si>
  <si>
    <t>Per jaar</t>
  </si>
  <si>
    <t>Alimentatiegerechtigde:</t>
  </si>
  <si>
    <t>Alimentatieplichtige:</t>
  </si>
  <si>
    <t>Beschikbaar voor AP/AG:</t>
  </si>
  <si>
    <t>Behoeftebepaling volgens de Hofnorm</t>
  </si>
  <si>
    <t>BOX I inkomen</t>
  </si>
  <si>
    <t>Totaal inkomen in BOX I, II en II:</t>
  </si>
  <si>
    <t>Totaal aan belastingen:</t>
  </si>
  <si>
    <t>Totaal heffingskortingen:</t>
  </si>
  <si>
    <t>Blijft aan netto behoefte over:</t>
  </si>
  <si>
    <t>Netto behoefte bedrag</t>
  </si>
  <si>
    <t>Bruto behoefte bedrag</t>
  </si>
  <si>
    <t>Bruto behoefte</t>
  </si>
  <si>
    <t>Netto behoefte PA --&gt; Bruto PA</t>
  </si>
  <si>
    <t>Netto behoefte bedrag / jaar</t>
  </si>
  <si>
    <t>Bruto behoefte bedrag / jaar</t>
  </si>
  <si>
    <t>Netto behoefte:</t>
  </si>
  <si>
    <t>Totaal Belastbaar inkomen uit woning &amp; werk (BOX I):</t>
  </si>
  <si>
    <t>Omgerekend naar Bruto (zie Tabblad Basisgegevens):</t>
  </si>
  <si>
    <t xml:space="preserve">Netto inkomsten </t>
  </si>
  <si>
    <t>Netto inkomen t.b.v. eigen behoefte:</t>
  </si>
  <si>
    <t>Benodigd netto inkomen:</t>
  </si>
  <si>
    <t>Alimentatie volgens Bruto behoefte:</t>
  </si>
  <si>
    <t>Alimentatie behoefte volgens Bruto behoefte:</t>
  </si>
  <si>
    <t>Per Jaar</t>
  </si>
  <si>
    <t>Maximale alimentatie volgens DRAAGKRACHT:</t>
  </si>
  <si>
    <t>Maximale alimentatie volgens BEHOEFTE:</t>
  </si>
  <si>
    <t>Maximale alimentatie volgens JUSVERGELIJKING:</t>
  </si>
  <si>
    <t>Besteedbaar inkomen na aftrek draagkrachtloos inkomen:</t>
  </si>
  <si>
    <t>Belasting t.b.v. JUS-vergelijking</t>
  </si>
  <si>
    <t>https://www.zorgwijzer.nl/faq/wat-is-de-inkomensafhankelijke-bijdrage</t>
  </si>
  <si>
    <t>JUS-Vergelijking</t>
  </si>
  <si>
    <t>Herberekende heffingskortingen</t>
  </si>
  <si>
    <t>Behoeftebepaling</t>
  </si>
  <si>
    <t>JUS-alimentatie:</t>
  </si>
  <si>
    <t>Heffingskortingen:</t>
  </si>
  <si>
    <t>Totaal Heffingskortingen:</t>
  </si>
  <si>
    <t>- andere kortingen (Jonggehandicapten, Levensloop, Groene beleggingen)</t>
  </si>
  <si>
    <t>Totaal inkomstenbelastingen (Box I, II en II)</t>
  </si>
  <si>
    <t>Besteedbaar inkomen per jaar</t>
  </si>
  <si>
    <t>137a</t>
  </si>
  <si>
    <t>141b</t>
  </si>
  <si>
    <t>141a</t>
  </si>
  <si>
    <t>141c</t>
  </si>
  <si>
    <t>Totaal aan inkomsten:</t>
  </si>
  <si>
    <t>Inkomsten</t>
  </si>
  <si>
    <t>Inhoudingen / Verplichtingen</t>
  </si>
  <si>
    <t>Verschil in Jus</t>
  </si>
  <si>
    <t>Verschil is</t>
  </si>
  <si>
    <t>a</t>
  </si>
  <si>
    <t>b</t>
  </si>
  <si>
    <t>c</t>
  </si>
  <si>
    <t>d</t>
  </si>
  <si>
    <t>e</t>
  </si>
  <si>
    <t>f</t>
  </si>
  <si>
    <t>g</t>
  </si>
  <si>
    <t>i</t>
  </si>
  <si>
    <t>j</t>
  </si>
  <si>
    <t>k</t>
  </si>
  <si>
    <t>l</t>
  </si>
  <si>
    <t>Gebruiksaanwijzing</t>
  </si>
  <si>
    <r>
      <t xml:space="preserve">De </t>
    </r>
    <r>
      <rPr>
        <b/>
        <u/>
        <sz val="11"/>
        <color rgb="FF00B0F0"/>
        <rFont val="Calibri"/>
        <family val="2"/>
        <scheme val="minor"/>
      </rPr>
      <t>LICHT-BLAUWE</t>
    </r>
    <r>
      <rPr>
        <b/>
        <sz val="11"/>
        <rFont val="Calibri"/>
        <family val="2"/>
        <scheme val="minor"/>
      </rPr>
      <t xml:space="preserve"> velden</t>
    </r>
    <r>
      <rPr>
        <sz val="11"/>
        <color theme="1"/>
        <rFont val="Calibri"/>
        <family val="2"/>
        <scheme val="minor"/>
      </rPr>
      <t xml:space="preserve"> zijn </t>
    </r>
    <r>
      <rPr>
        <b/>
        <u/>
        <sz val="11"/>
        <color theme="1"/>
        <rFont val="Calibri"/>
        <family val="2"/>
        <scheme val="minor"/>
      </rPr>
      <t>invulvelden</t>
    </r>
    <r>
      <rPr>
        <b/>
        <sz val="11"/>
        <color theme="1"/>
        <rFont val="Calibri"/>
        <family val="2"/>
        <scheme val="minor"/>
      </rPr>
      <t xml:space="preserve">. </t>
    </r>
    <r>
      <rPr>
        <sz val="11"/>
        <color theme="1"/>
        <rFont val="Calibri"/>
        <family val="2"/>
        <scheme val="minor"/>
      </rPr>
      <t>Deze velden komen voor in de tabbladen: "</t>
    </r>
    <r>
      <rPr>
        <i/>
        <u/>
        <sz val="11"/>
        <color theme="1"/>
        <rFont val="Calibri"/>
        <family val="2"/>
        <scheme val="minor"/>
      </rPr>
      <t>Basisgegevens</t>
    </r>
    <r>
      <rPr>
        <sz val="11"/>
        <color theme="1"/>
        <rFont val="Calibri"/>
        <family val="2"/>
        <scheme val="minor"/>
      </rPr>
      <t>", "</t>
    </r>
    <r>
      <rPr>
        <i/>
        <u/>
        <sz val="11"/>
        <color theme="1"/>
        <rFont val="Calibri"/>
        <family val="2"/>
        <scheme val="minor"/>
      </rPr>
      <t>Alimentatie 20xx-x</t>
    </r>
    <r>
      <rPr>
        <i/>
        <sz val="11"/>
        <color theme="1"/>
        <rFont val="Calibri"/>
        <family val="2"/>
        <scheme val="minor"/>
      </rPr>
      <t>"</t>
    </r>
    <r>
      <rPr>
        <sz val="11"/>
        <color theme="1"/>
        <rFont val="Calibri"/>
        <family val="2"/>
        <scheme val="minor"/>
      </rPr>
      <t xml:space="preserve"> en "</t>
    </r>
    <r>
      <rPr>
        <i/>
        <u/>
        <sz val="11"/>
        <color theme="1"/>
        <rFont val="Calibri"/>
        <family val="2"/>
        <scheme val="minor"/>
      </rPr>
      <t>Jusvergelijking</t>
    </r>
    <r>
      <rPr>
        <sz val="11"/>
        <color theme="1"/>
        <rFont val="Calibri"/>
        <family val="2"/>
        <scheme val="minor"/>
      </rPr>
      <t xml:space="preserve">".
Vul </t>
    </r>
    <r>
      <rPr>
        <b/>
        <u/>
        <sz val="11"/>
        <color rgb="FF00B0F0"/>
        <rFont val="Calibri"/>
        <family val="2"/>
        <scheme val="minor"/>
      </rPr>
      <t>LICHT-BLAUWE</t>
    </r>
    <r>
      <rPr>
        <sz val="11"/>
        <color theme="1"/>
        <rFont val="Calibri"/>
        <family val="2"/>
        <scheme val="minor"/>
      </rPr>
      <t xml:space="preserve"> velden de gevraagde gegevens (indien van toepassing) in. Hiermee worden de berekeningen uitgevoerd in de div. tabbladen.</t>
    </r>
  </si>
  <si>
    <r>
      <t xml:space="preserve">Als een veld </t>
    </r>
    <r>
      <rPr>
        <b/>
        <u/>
        <sz val="11"/>
        <color rgb="FFFF0000"/>
        <rFont val="Calibri"/>
        <family val="2"/>
        <scheme val="minor"/>
      </rPr>
      <t>ROOD</t>
    </r>
    <r>
      <rPr>
        <sz val="11"/>
        <rFont val="Calibri"/>
        <family val="2"/>
        <scheme val="minor"/>
      </rPr>
      <t xml:space="preserve"> kleurt, deze dan controleren (wel pas nadat alle gegevens zijn ingevuld). </t>
    </r>
    <r>
      <rPr>
        <b/>
        <sz val="11"/>
        <color rgb="FFFF0000"/>
        <rFont val="Calibri"/>
        <family val="2"/>
        <scheme val="minor"/>
      </rPr>
      <t>Rood</t>
    </r>
    <r>
      <rPr>
        <sz val="11"/>
        <rFont val="Calibri"/>
        <family val="2"/>
        <scheme val="minor"/>
      </rPr>
      <t xml:space="preserve"> is een signaal dat er iets is wat niet klopt! 
Bijv. als bij Bijstand "</t>
    </r>
    <r>
      <rPr>
        <i/>
        <sz val="11"/>
        <rFont val="Calibri"/>
        <family val="2"/>
        <scheme val="minor"/>
      </rPr>
      <t>Ja</t>
    </r>
    <r>
      <rPr>
        <sz val="11"/>
        <rFont val="Calibri"/>
        <family val="2"/>
        <scheme val="minor"/>
      </rPr>
      <t xml:space="preserve">" wordt ingevuld en er geen bedragen in de betreffende inkomstentabel zijn ingevuld zal deze </t>
    </r>
    <r>
      <rPr>
        <b/>
        <u/>
        <sz val="11"/>
        <color rgb="FFFF0000"/>
        <rFont val="Calibri"/>
        <family val="2"/>
        <scheme val="minor"/>
      </rPr>
      <t>ROOD</t>
    </r>
    <r>
      <rPr>
        <sz val="11"/>
        <rFont val="Calibri"/>
        <family val="2"/>
        <scheme val="minor"/>
      </rPr>
      <t xml:space="preserve"> kleuren</t>
    </r>
    <r>
      <rPr>
        <sz val="11"/>
        <color theme="1"/>
        <rFont val="Calibri"/>
        <family val="2"/>
        <scheme val="minor"/>
      </rPr>
      <t>.</t>
    </r>
  </si>
  <si>
    <t>Uitleg over de kleuren &amp; aandachtspunten hierbij</t>
  </si>
  <si>
    <t>Kleur</t>
  </si>
  <si>
    <t>LEGENDA:</t>
  </si>
  <si>
    <t xml:space="preserve">Als eerste uitleg over de gebruikte kleuren in deze Alimentatie berekeningssheet. </t>
  </si>
  <si>
    <r>
      <t xml:space="preserve">Als een veld </t>
    </r>
    <r>
      <rPr>
        <b/>
        <u/>
        <sz val="11"/>
        <color rgb="FFFFC000"/>
        <rFont val="Calibri"/>
        <family val="2"/>
        <scheme val="minor"/>
      </rPr>
      <t>ORANJE</t>
    </r>
    <r>
      <rPr>
        <sz val="11"/>
        <color theme="1"/>
        <rFont val="Calibri"/>
        <family val="2"/>
        <scheme val="minor"/>
      </rPr>
      <t xml:space="preserve"> kleurt is dat primair een </t>
    </r>
    <r>
      <rPr>
        <b/>
        <u/>
        <sz val="11"/>
        <color theme="1"/>
        <rFont val="Calibri"/>
        <family val="2"/>
        <scheme val="minor"/>
      </rPr>
      <t>ATTENTIE</t>
    </r>
    <r>
      <rPr>
        <sz val="11"/>
        <color theme="1"/>
        <rFont val="Calibri"/>
        <family val="2"/>
        <scheme val="minor"/>
      </rPr>
      <t xml:space="preserve"> signaal. Kijk extra naar de inhoud van het veld of alles klopt. De inhoud kan gewoon correct of </t>
    </r>
    <r>
      <rPr>
        <b/>
        <u/>
        <sz val="11"/>
        <color theme="1"/>
        <rFont val="Calibri"/>
        <family val="2"/>
        <scheme val="minor"/>
      </rPr>
      <t>aangepast</t>
    </r>
    <r>
      <rPr>
        <sz val="11"/>
        <color theme="1"/>
        <rFont val="Calibri"/>
        <family val="2"/>
        <scheme val="minor"/>
      </rPr>
      <t xml:space="preserve"> zijn. Bijv. als de draagkracht onder de </t>
    </r>
    <r>
      <rPr>
        <sz val="11"/>
        <color theme="1"/>
        <rFont val="Calibri"/>
        <family val="2"/>
      </rPr>
      <t>€</t>
    </r>
    <r>
      <rPr>
        <sz val="11"/>
        <color theme="1"/>
        <rFont val="Calibri"/>
        <family val="2"/>
        <scheme val="minor"/>
      </rPr>
      <t xml:space="preserve"> 0 grens komt zal i.p.v. het </t>
    </r>
    <r>
      <rPr>
        <u/>
        <sz val="11"/>
        <color theme="1"/>
        <rFont val="Calibri"/>
        <family val="2"/>
        <scheme val="minor"/>
      </rPr>
      <t>minbedrag</t>
    </r>
    <r>
      <rPr>
        <sz val="11"/>
        <color theme="1"/>
        <rFont val="Calibri"/>
        <family val="2"/>
        <scheme val="minor"/>
      </rPr>
      <t xml:space="preserve"> € 0 worden ingevuld met de </t>
    </r>
    <r>
      <rPr>
        <b/>
        <u/>
        <sz val="11"/>
        <color rgb="FFFFC000"/>
        <rFont val="Calibri"/>
        <family val="2"/>
        <scheme val="minor"/>
      </rPr>
      <t>ORANJE</t>
    </r>
    <r>
      <rPr>
        <sz val="11"/>
        <color theme="1"/>
        <rFont val="Calibri"/>
        <family val="2"/>
        <scheme val="minor"/>
      </rPr>
      <t xml:space="preserve"> markering.</t>
    </r>
  </si>
  <si>
    <r>
      <t xml:space="preserve">De </t>
    </r>
    <r>
      <rPr>
        <b/>
        <u/>
        <sz val="11"/>
        <color theme="0" tint="-0.249977111117893"/>
        <rFont val="Calibri"/>
        <family val="2"/>
        <scheme val="minor"/>
      </rPr>
      <t>GRIJZE</t>
    </r>
    <r>
      <rPr>
        <sz val="11"/>
        <color theme="1"/>
        <rFont val="Calibri"/>
        <family val="2"/>
        <scheme val="minor"/>
      </rPr>
      <t xml:space="preserve"> velden bevatten (net als de groene) velden de formules t.b.v. het maken van de juiste berekeningen.
</t>
    </r>
    <r>
      <rPr>
        <sz val="11"/>
        <color theme="1"/>
        <rFont val="Calibri"/>
        <family val="2"/>
        <scheme val="minor"/>
      </rPr>
      <t>Deze cellen zijn geblokkeerd om te voorkomen dat de formules per ongeluk verminkt/gewist worden</t>
    </r>
  </si>
  <si>
    <r>
      <t xml:space="preserve">De </t>
    </r>
    <r>
      <rPr>
        <b/>
        <u/>
        <sz val="11"/>
        <color rgb="FF92D050"/>
        <rFont val="Calibri"/>
        <family val="2"/>
        <scheme val="minor"/>
      </rPr>
      <t>GROENE</t>
    </r>
    <r>
      <rPr>
        <sz val="11"/>
        <color theme="1"/>
        <rFont val="Calibri"/>
        <family val="2"/>
        <scheme val="minor"/>
      </rPr>
      <t xml:space="preserve"> velden bevatten de berekende (eind)totalen, dit op basis van de formules in deze velden.</t>
    </r>
    <r>
      <rPr>
        <sz val="11"/>
        <color theme="1"/>
        <rFont val="Calibri"/>
        <family val="2"/>
        <scheme val="minor"/>
      </rPr>
      <t xml:space="preserve">
Deze cellen zijn geblokkeerd om te voorkomen dat de formules per ongeluk verminkt/gewist worden</t>
    </r>
  </si>
  <si>
    <r>
      <t xml:space="preserve">De </t>
    </r>
    <r>
      <rPr>
        <b/>
        <u/>
        <sz val="11"/>
        <color theme="5" tint="0.59999389629810485"/>
        <rFont val="Calibri"/>
        <family val="2"/>
        <scheme val="minor"/>
      </rPr>
      <t>ROZE</t>
    </r>
    <r>
      <rPr>
        <sz val="11"/>
        <color theme="1"/>
        <rFont val="Calibri"/>
        <family val="2"/>
        <scheme val="minor"/>
      </rPr>
      <t xml:space="preserve"> velden bevatten berekende subtotalen, dit op basis van de formules in deze velden.</t>
    </r>
    <r>
      <rPr>
        <sz val="11"/>
        <color theme="1"/>
        <rFont val="Calibri"/>
        <family val="2"/>
        <scheme val="minor"/>
      </rPr>
      <t xml:space="preserve">
Deze cellen zijn geblokkeerd om te voorkomen dat de formules per ongeluk verminkt/gewist worden</t>
    </r>
  </si>
  <si>
    <r>
      <t xml:space="preserve">De </t>
    </r>
    <r>
      <rPr>
        <b/>
        <u/>
        <sz val="11"/>
        <color rgb="FFFFFF00"/>
        <rFont val="Calibri"/>
        <family val="2"/>
        <scheme val="minor"/>
      </rPr>
      <t>GELE</t>
    </r>
    <r>
      <rPr>
        <sz val="11"/>
        <color theme="1"/>
        <rFont val="Calibri"/>
        <family val="2"/>
        <scheme val="minor"/>
      </rPr>
      <t xml:space="preserve"> velden markeren de beginregels/kopregels bovenaan de tabellen, de secties etc.</t>
    </r>
  </si>
  <si>
    <t>Hoe te starten ?</t>
  </si>
  <si>
    <t>De link staat achter de betreffende regel !!!</t>
  </si>
  <si>
    <r>
      <t xml:space="preserve">Start als 1e in het tabblad "Basisgegevens", die is de primaire bron voor alle berekeningen, vul de van toepassing zijn de </t>
    </r>
    <r>
      <rPr>
        <b/>
        <u/>
        <sz val="11"/>
        <color rgb="FF00B0F0"/>
        <rFont val="Calibri"/>
        <family val="2"/>
        <scheme val="minor"/>
      </rPr>
      <t>LICHT BLAUWE</t>
    </r>
    <r>
      <rPr>
        <sz val="11"/>
        <color theme="1"/>
        <rFont val="Calibri"/>
        <family val="2"/>
        <scheme val="minor"/>
      </rPr>
      <t xml:space="preserve"> velden in.</t>
    </r>
  </si>
  <si>
    <r>
      <t xml:space="preserve">Werk nu  in het blok </t>
    </r>
    <r>
      <rPr>
        <b/>
        <u/>
        <sz val="11"/>
        <color theme="1"/>
        <rFont val="Calibri"/>
        <family val="2"/>
        <scheme val="minor"/>
      </rPr>
      <t>kolom A t/m K</t>
    </r>
    <r>
      <rPr>
        <sz val="11"/>
        <color theme="1"/>
        <rFont val="Calibri"/>
        <family val="2"/>
        <scheme val="minor"/>
      </rPr>
      <t xml:space="preserve"> van boven naar beneden de van toepassing zijnde (inkomens)gegevens in:</t>
    </r>
  </si>
  <si>
    <r>
      <t xml:space="preserve">Werk nu  in het blok </t>
    </r>
    <r>
      <rPr>
        <b/>
        <u/>
        <sz val="11"/>
        <color theme="1"/>
        <rFont val="Calibri"/>
        <family val="2"/>
        <scheme val="minor"/>
      </rPr>
      <t>kolom L t/m Z</t>
    </r>
    <r>
      <rPr>
        <sz val="11"/>
        <color theme="1"/>
        <rFont val="Calibri"/>
        <family val="2"/>
        <scheme val="minor"/>
      </rPr>
      <t xml:space="preserve"> van boven naar beneden de van toepassing zijnde </t>
    </r>
    <r>
      <rPr>
        <b/>
        <u/>
        <sz val="11"/>
        <color theme="1"/>
        <rFont val="Calibri"/>
        <family val="2"/>
        <scheme val="minor"/>
      </rPr>
      <t>antwoorden</t>
    </r>
    <r>
      <rPr>
        <sz val="11"/>
        <color theme="1"/>
        <rFont val="Calibri"/>
        <family val="2"/>
        <scheme val="minor"/>
      </rPr>
      <t xml:space="preserve"> in bij de:</t>
    </r>
  </si>
  <si>
    <t>Tabblad "Alimentatie 20xx-x"</t>
  </si>
  <si>
    <t>1a</t>
  </si>
  <si>
    <t>1b</t>
  </si>
  <si>
    <t>Lees de toelichtingen, opmerkingen en/of aanwijzingen in de kolom "" zorgvuldig.</t>
  </si>
  <si>
    <t>Werk de volgende 3 stappen af:</t>
  </si>
  <si>
    <t>Tabblad "Jusvergelijking"</t>
  </si>
  <si>
    <r>
      <t>- In het tabblad "</t>
    </r>
    <r>
      <rPr>
        <i/>
        <sz val="11"/>
        <color theme="1"/>
        <rFont val="Calibri"/>
        <family val="2"/>
        <scheme val="minor"/>
      </rPr>
      <t>Samenvatting</t>
    </r>
    <r>
      <rPr>
        <sz val="11"/>
        <color theme="1"/>
        <rFont val="Calibri"/>
        <family val="2"/>
        <scheme val="minor"/>
      </rPr>
      <t xml:space="preserve">" staan de kerngetallen uit de berekening samengevat, samen met de </t>
    </r>
    <r>
      <rPr>
        <b/>
        <u/>
        <sz val="11"/>
        <color theme="1"/>
        <rFont val="Calibri"/>
        <family val="2"/>
        <scheme val="minor"/>
      </rPr>
      <t>(kinder)alimentatie</t>
    </r>
    <r>
      <rPr>
        <sz val="11"/>
        <color theme="1"/>
        <rFont val="Calibri"/>
        <family val="2"/>
        <scheme val="minor"/>
      </rPr>
      <t xml:space="preserve"> bedragen</t>
    </r>
  </si>
  <si>
    <t>De overige tabbladen &amp; hun functie</t>
  </si>
  <si>
    <t>Tenslotte:</t>
  </si>
  <si>
    <r>
      <t xml:space="preserve">Bij vragen, wensen of onverhoopte fouten: Mail deze dan samen met je berekening en een eventuele schermafdruk naar: </t>
    </r>
    <r>
      <rPr>
        <u/>
        <sz val="11"/>
        <color theme="1"/>
        <rFont val="Calibri"/>
        <family val="2"/>
        <scheme val="minor"/>
      </rPr>
      <t>info@levennascheiding.nl</t>
    </r>
    <r>
      <rPr>
        <sz val="11"/>
        <color theme="1"/>
        <rFont val="Calibri"/>
        <family val="2"/>
        <scheme val="minor"/>
      </rPr>
      <t xml:space="preserve">. Waar mogelijk en passend ga ik hier dan mee aan de slag! </t>
    </r>
  </si>
  <si>
    <t>Advies</t>
  </si>
  <si>
    <t>ALERT</t>
  </si>
  <si>
    <t>Vragen?</t>
  </si>
  <si>
    <t>Noot:</t>
  </si>
  <si>
    <r>
      <t xml:space="preserve">- Vul eerst de persoonlijke gegevens in in het blok (A3-J20) en bereken tegelijk ook de </t>
    </r>
    <r>
      <rPr>
        <b/>
        <u/>
        <sz val="11"/>
        <color theme="1"/>
        <rFont val="Calibri"/>
        <family val="2"/>
        <scheme val="minor"/>
      </rPr>
      <t>pensioendata</t>
    </r>
    <r>
      <rPr>
        <sz val="11"/>
        <color theme="1"/>
        <rFont val="Calibri"/>
        <family val="2"/>
        <scheme val="minor"/>
      </rPr>
      <t xml:space="preserve"> via de link naar de svb.nl.
- Let ook op het invullen/vastzetten van berekeningsdatum (cel C15)
- Als het om een HERBEREKENING gaat moet je het </t>
    </r>
    <r>
      <rPr>
        <b/>
        <sz val="11"/>
        <color theme="1"/>
        <rFont val="Calibri"/>
        <family val="2"/>
        <scheme val="minor"/>
      </rPr>
      <t>NBI uit het jaar</t>
    </r>
    <r>
      <rPr>
        <sz val="11"/>
        <color theme="1"/>
        <rFont val="Calibri"/>
        <family val="2"/>
        <scheme val="minor"/>
      </rPr>
      <t xml:space="preserve"> van scheiding (cel C20) en het </t>
    </r>
    <r>
      <rPr>
        <b/>
        <sz val="11"/>
        <color theme="1"/>
        <rFont val="Calibri"/>
        <family val="2"/>
        <scheme val="minor"/>
      </rPr>
      <t>scheidingsjaar (cel C19)</t>
    </r>
    <r>
      <rPr>
        <sz val="11"/>
        <color theme="1"/>
        <rFont val="Calibri"/>
        <family val="2"/>
        <scheme val="minor"/>
      </rPr>
      <t xml:space="preserve"> ook invullen. Dit is van belang voor de kinderalimentatie berekening!</t>
    </r>
  </si>
  <si>
    <r>
      <t xml:space="preserve">Lees de toelichtingen, opmerkingen en/of aanwijzingen in de </t>
    </r>
    <r>
      <rPr>
        <b/>
        <u/>
        <sz val="11"/>
        <color theme="1"/>
        <rFont val="Calibri"/>
        <family val="2"/>
        <scheme val="minor"/>
      </rPr>
      <t>kolom "I"</t>
    </r>
    <r>
      <rPr>
        <sz val="11"/>
        <color theme="1"/>
        <rFont val="Calibri"/>
        <family val="2"/>
        <scheme val="minor"/>
      </rPr>
      <t xml:space="preserve"> zorgvuldig.</t>
    </r>
  </si>
  <si>
    <t>Ink.afhankelijke bijdrage premie ZVW (niet AOW)</t>
  </si>
  <si>
    <r>
      <t xml:space="preserve">In het jaar van aangifte een </t>
    </r>
    <r>
      <rPr>
        <b/>
        <u/>
        <sz val="10"/>
        <color rgb="FF000000"/>
        <rFont val="Verdana"/>
        <family val="2"/>
      </rPr>
      <t>AOW-uitkering voor een alleenstaande</t>
    </r>
    <r>
      <rPr>
        <sz val="10"/>
        <color rgb="FF000000"/>
        <rFont val="Verdana"/>
        <family val="2"/>
      </rPr>
      <t xml:space="preserve"> krijgt of daar recht op hebt</t>
    </r>
  </si>
  <si>
    <r>
      <t>- In het tabblad "</t>
    </r>
    <r>
      <rPr>
        <i/>
        <sz val="11"/>
        <color theme="1"/>
        <rFont val="Calibri"/>
        <family val="2"/>
        <scheme val="minor"/>
      </rPr>
      <t>Behoefteberekening</t>
    </r>
    <r>
      <rPr>
        <sz val="11"/>
        <color theme="1"/>
        <rFont val="Calibri"/>
        <family val="2"/>
        <scheme val="minor"/>
      </rPr>
      <t xml:space="preserve">" staan de details van de alimentatieberekening op basis van de </t>
    </r>
    <r>
      <rPr>
        <b/>
        <u/>
        <sz val="11"/>
        <color theme="1"/>
        <rFont val="Calibri"/>
        <family val="2"/>
        <scheme val="minor"/>
      </rPr>
      <t>behoefte</t>
    </r>
    <r>
      <rPr>
        <sz val="11"/>
        <color theme="1"/>
        <rFont val="Calibri"/>
        <family val="2"/>
        <scheme val="minor"/>
      </rPr>
      <t>.</t>
    </r>
  </si>
  <si>
    <t>Draagkrachtpercentage</t>
  </si>
  <si>
    <t>Draagkracht %</t>
  </si>
  <si>
    <t>Vakantiegeld telt mee in jaarloon voor post 48?</t>
  </si>
  <si>
    <t>Inkomenstoeslag / Bonus</t>
  </si>
  <si>
    <t>Disclaimer</t>
  </si>
  <si>
    <t>Tot</t>
  </si>
  <si>
    <t>Berekeningstijdvak</t>
  </si>
  <si>
    <t>Zie ook: Aantal kids in tabblad "Kinderalimentatie"</t>
  </si>
  <si>
    <t>Deze wordt bepaald o.b.v. berekeningstijdvak (C21), wordt gebruikt in de diverse tabellen om de juiste tabel te kiezen</t>
  </si>
  <si>
    <t>Lening</t>
  </si>
  <si>
    <t>NBI tot</t>
  </si>
  <si>
    <t>Percentage draagkrachtruimte (uitgangspunt: Alleenwonend)</t>
  </si>
  <si>
    <t>(nr. 59/60) - (nr.61 t/m 63)</t>
  </si>
  <si>
    <t>Voordeel i.v.m. betaalde alimentatie (eerdere) ex-partner / Hypotheekrente</t>
  </si>
  <si>
    <t>Onderdeel: RENTE</t>
  </si>
  <si>
    <t>Onderdeel: AFLOSSING</t>
  </si>
  <si>
    <t>Inkomen voor aftrek inkomensheffing</t>
  </si>
  <si>
    <t>Kinderalimentatie per maand:</t>
  </si>
  <si>
    <t>Verzamelinkomen tbv berekenen Huurtoeslag:</t>
  </si>
  <si>
    <t>Verzamelinkomen tbv berekenen Zorgtoeslag:</t>
  </si>
  <si>
    <r>
      <t xml:space="preserve">Kindgebonden budget </t>
    </r>
    <r>
      <rPr>
        <b/>
        <u/>
        <sz val="12"/>
        <color rgb="FFFF0000"/>
        <rFont val="Calibri"/>
        <family val="2"/>
        <scheme val="minor"/>
      </rPr>
      <t>(ontvangen ten tijde van de relatie)</t>
    </r>
  </si>
  <si>
    <r>
      <t xml:space="preserve">Kindgebonden budget </t>
    </r>
    <r>
      <rPr>
        <b/>
        <u/>
        <sz val="12"/>
        <color rgb="FFFF0000"/>
        <rFont val="Calibri"/>
        <family val="2"/>
        <scheme val="minor"/>
      </rPr>
      <t>(te ontvangen na de scheiding)</t>
    </r>
  </si>
  <si>
    <r>
      <rPr>
        <b/>
        <u/>
        <sz val="11"/>
        <rFont val="Calibri"/>
        <family val="2"/>
        <scheme val="minor"/>
      </rPr>
      <t xml:space="preserve">Berekenen? Zie: </t>
    </r>
    <r>
      <rPr>
        <b/>
        <u/>
        <sz val="11"/>
        <color theme="10"/>
        <rFont val="Calibri"/>
        <family val="2"/>
        <scheme val="minor"/>
      </rPr>
      <t>https://www.belastingdienst.nl/rekenhulpen/toeslagen/</t>
    </r>
  </si>
  <si>
    <t>maand</t>
  </si>
  <si>
    <t>- Inkomensafh. bijdrage ZVW over partneralimentatie</t>
  </si>
  <si>
    <t>Verschuldigde partneralimentatie:</t>
  </si>
  <si>
    <t xml:space="preserve">Aan ex. partner te betalen Partner-/Kinderalimentatie: </t>
  </si>
  <si>
    <t>Verschuldigde kinderalimentatie:</t>
  </si>
  <si>
    <t>Recht op AOW in:</t>
  </si>
  <si>
    <t>Berekeningsjaar:</t>
  </si>
  <si>
    <r>
      <t>Startersaftrek (</t>
    </r>
    <r>
      <rPr>
        <u/>
        <sz val="11"/>
        <color theme="1"/>
        <rFont val="Calibri"/>
        <family val="2"/>
        <scheme val="minor"/>
      </rPr>
      <t>Op 1-1 AOW-er? Dan 50% !!</t>
    </r>
    <r>
      <rPr>
        <sz val="11"/>
        <color theme="1"/>
        <rFont val="Calibri"/>
        <family val="2"/>
        <scheme val="minor"/>
      </rPr>
      <t>)</t>
    </r>
  </si>
  <si>
    <t>Namen thuiswonende/studerende kinderen</t>
  </si>
  <si>
    <t>(Kleine) Netto inkomsten</t>
  </si>
  <si>
    <t>gehuwden, beide echtgenoten jonger dan de pensioengerechtigde leeftijd en geen inwonende andere volwassenen</t>
  </si>
  <si>
    <t>een alleenstaande ouder en geen inwonende andere volwassenen</t>
  </si>
  <si>
    <t>een alleenstaande en geen inwonende andere volwassenen</t>
  </si>
  <si>
    <t>gehuwden, beide echtgenoten met pensioengerechtigde leeftijd en geen inwonende andere volwassenen</t>
  </si>
  <si>
    <t>gehuwden, een echtgenoot met de pensioengerechtigde leeftijd en de andere echtgenoot 21 jaar of ouder, maar nog niet pensioengerechtigd en geen inwonende andere volwassenen</t>
  </si>
  <si>
    <t>Alimentatieberekening</t>
  </si>
  <si>
    <t>Totaal inkomsten uit dienstbetrekking</t>
  </si>
  <si>
    <t>Bruto jaarloon uit dienstbetrekking 1</t>
  </si>
  <si>
    <t>Bruto jaarloon uit dienstbetrekking 2</t>
  </si>
  <si>
    <t>Totaal:</t>
  </si>
  <si>
    <t>Totaal bruto jaarloon uit dienstbetrekking</t>
  </si>
  <si>
    <t>Totaal 1e en 2e dienstbetrekking</t>
  </si>
  <si>
    <t>Advies: Gebruik post 41 t/m 58</t>
  </si>
  <si>
    <t>Week</t>
  </si>
  <si>
    <t>13e maand / 14e periodiek / Jaarbonus</t>
  </si>
  <si>
    <t>Loon volgens jaaropgave werkgever(s)</t>
  </si>
  <si>
    <t>Inkomsten uit arbeid van Werkgever 1:</t>
  </si>
  <si>
    <t>Inkomsten uit arbeid van Werkgever 2:</t>
  </si>
  <si>
    <t>Fiscale bruto jaarinkomen werkgever 1</t>
  </si>
  <si>
    <t>Werkgever 1: Bruto arbeidsinkomen bouw inclusief belast deel waarde vakantiebonnen</t>
  </si>
  <si>
    <r>
      <t xml:space="preserve">Bruto weekinkomen </t>
    </r>
    <r>
      <rPr>
        <sz val="11"/>
        <color rgb="FFFF0000"/>
        <rFont val="Calibri"/>
        <family val="2"/>
        <scheme val="minor"/>
      </rPr>
      <t>werkgever 1</t>
    </r>
  </si>
  <si>
    <t>1.0</t>
  </si>
  <si>
    <r>
      <t xml:space="preserve">Vergeet niet om voor de juiste periode (maand / 4-weken c.q. Week) te kiezen bij de inkomenstabellen!
</t>
    </r>
    <r>
      <rPr>
        <sz val="14"/>
        <color theme="1"/>
        <rFont val="Calibri"/>
        <family val="2"/>
        <scheme val="minor"/>
      </rPr>
      <t>Berekenen van eventuele toeslagen (zorg-, huurtoeslag etc.) kan via de link bij het betreffende onderdeel.</t>
    </r>
  </si>
  <si>
    <r>
      <t>- In het tabblad "</t>
    </r>
    <r>
      <rPr>
        <i/>
        <sz val="11"/>
        <color theme="1"/>
        <rFont val="Calibri"/>
        <family val="2"/>
        <scheme val="minor"/>
      </rPr>
      <t>Jusvergelijking</t>
    </r>
    <r>
      <rPr>
        <sz val="11"/>
        <color theme="1"/>
        <rFont val="Calibri"/>
        <family val="2"/>
        <scheme val="minor"/>
      </rPr>
      <t xml:space="preserve">" staan de details van de alimentatieberekening op basis van de </t>
    </r>
    <r>
      <rPr>
        <b/>
        <u/>
        <sz val="11"/>
        <color theme="1"/>
        <rFont val="Calibri"/>
        <family val="2"/>
        <scheme val="minor"/>
      </rPr>
      <t>zogenaamde Jusvergelijking</t>
    </r>
    <r>
      <rPr>
        <sz val="11"/>
        <color theme="1"/>
        <rFont val="Calibri"/>
        <family val="2"/>
        <scheme val="minor"/>
      </rPr>
      <t>.</t>
    </r>
  </si>
  <si>
    <t>https://www.svb.nl/nl/aow/aow-leeftijd/uw-aow-leeftijd</t>
  </si>
  <si>
    <t>Behoeftetabel</t>
  </si>
  <si>
    <t>MBO Uitwonend</t>
  </si>
  <si>
    <t>Behoeftebasis</t>
  </si>
  <si>
    <t>Behoeftestatus</t>
  </si>
  <si>
    <t>Zelfvoorzienend</t>
  </si>
  <si>
    <t>Basisbeurs</t>
  </si>
  <si>
    <t>Aanvullende beurs</t>
  </si>
  <si>
    <t>Thuiswonend</t>
  </si>
  <si>
    <t>Uitwonend</t>
  </si>
  <si>
    <t>Collegekrediet</t>
  </si>
  <si>
    <t>MBO Thuisw.</t>
  </si>
  <si>
    <t>12 t/m 17 (MBO)</t>
  </si>
  <si>
    <t>Totaal meetellende kinderen:</t>
  </si>
  <si>
    <t>Kostenbepaling t.b.v. jongmeerderjarigen</t>
  </si>
  <si>
    <t>Leeftijd op</t>
  </si>
  <si>
    <t>Het studiejaar start op:</t>
  </si>
  <si>
    <t>MBO (BOL) lesgeldplichtig?</t>
  </si>
  <si>
    <t>Totaal berekende studiekosten</t>
  </si>
  <si>
    <t>Lesgeld, zie:</t>
  </si>
  <si>
    <t>https://www.rijksoverheid.nl/onderwerpen/achttien-jaar-worden/vraag-en-antwoord/wanneer-moet-ik-lesgeld-betalen</t>
  </si>
  <si>
    <t>Collegegeld, zie:</t>
  </si>
  <si>
    <t>https://www.rijksoverheid.nl/onderwerpen/hoger-onderwijs/vraag-en-antwoord/wanneer-moet-ik-collegegeld-betalen</t>
  </si>
  <si>
    <t>Totale behoefte t.b.v. studie</t>
  </si>
  <si>
    <t>Collegegeld (voltijd)</t>
  </si>
  <si>
    <t>Studerenden MBO en jongmeerderjarigen (18 t/m 21)</t>
  </si>
  <si>
    <t>Jongmeerderjarigen, behoefte verlagend:</t>
  </si>
  <si>
    <t>Leeftijdsgroepen vallend onder</t>
  </si>
  <si>
    <t>Lesgeld bij 18+</t>
  </si>
  <si>
    <r>
      <t xml:space="preserve">Alleen invullen als het om een berekening </t>
    </r>
    <r>
      <rPr>
        <b/>
        <u/>
        <sz val="11"/>
        <color theme="1"/>
        <rFont val="Calibri"/>
        <family val="2"/>
        <scheme val="minor"/>
      </rPr>
      <t>TIJDENS</t>
    </r>
    <r>
      <rPr>
        <b/>
        <sz val="11"/>
        <color theme="1"/>
        <rFont val="Calibri"/>
        <family val="2"/>
        <scheme val="minor"/>
      </rPr>
      <t xml:space="preserve"> scheiding gaat</t>
    </r>
  </si>
  <si>
    <r>
      <t xml:space="preserve">Alleen invullen als het om een berekening </t>
    </r>
    <r>
      <rPr>
        <b/>
        <u/>
        <sz val="11"/>
        <color theme="1"/>
        <rFont val="Calibri"/>
        <family val="2"/>
        <scheme val="minor"/>
      </rPr>
      <t>NA</t>
    </r>
    <r>
      <rPr>
        <b/>
        <sz val="11"/>
        <color theme="1"/>
        <rFont val="Calibri"/>
        <family val="2"/>
        <scheme val="minor"/>
      </rPr>
      <t xml:space="preserve"> het scheiding gaat</t>
    </r>
  </si>
  <si>
    <t>Kosten kinderen volgens tabel of bij studie</t>
  </si>
  <si>
    <t>Kind valt onder de zorg / regie van</t>
  </si>
  <si>
    <t>Betreft: 2e dienstbetrekking (indien van toepassing)</t>
  </si>
  <si>
    <t>Betreft: 1e dienstbetrekking</t>
  </si>
  <si>
    <t>Bijtelling auto van de zaak direct in minderring brengen?</t>
  </si>
  <si>
    <r>
      <t xml:space="preserve">Zorgtoeslag 
</t>
    </r>
    <r>
      <rPr>
        <b/>
        <sz val="10.5"/>
        <color rgb="FFFF0000"/>
        <rFont val="Calibri"/>
        <family val="2"/>
        <scheme val="minor"/>
      </rPr>
      <t>(NB: Zit al in normbedragen)</t>
    </r>
  </si>
  <si>
    <t>Kind valt onder de zorg/regie van</t>
  </si>
  <si>
    <t>Kinderen &amp; hun (woon)plek</t>
  </si>
  <si>
    <t>https://www.belastingdienst.nl/wps/wcm/connect/bldcontentnl/belastingdienst/prive/vermogen_en_aanmerkelijk_belang/vermogen/belasting_betalen_over_uw_vermogen/heffingsvrij_vermogen/heffingsvrij_vermogen</t>
  </si>
  <si>
    <t>2) Uw kind staat ten minste 6 maanden in 1 kalenderjaar bij de gemeente ingeschreven op uw woonadres.</t>
  </si>
  <si>
    <t>Tot aan dit bedrag is er recht op huursubsidie (bij een nieuwe aanvraag)</t>
  </si>
  <si>
    <t xml:space="preserve"> https://www.belastingdienst.nl/wps/wcm/connect/bldcontentnl/belastingdienst/prive/vermogen_en_aanmerkelijk_belang/vermogen/wat_zijn_uw_bezittingen_en_schulden/uw_schulden/drempel</t>
  </si>
  <si>
    <t>= (nr.41+44-44(Uitk WW)+(45t/m49)-(51t/m53)-55+57+58-62+70+78)</t>
  </si>
  <si>
    <t>Vervallen, studiekosten en andere scholingsuitgaven zijn vanaf 1 januari 2022 niet meer aftrekbaar;</t>
  </si>
  <si>
    <r>
      <rPr>
        <b/>
        <u/>
        <sz val="11"/>
        <rFont val="Calibri"/>
        <family val="2"/>
        <scheme val="minor"/>
      </rPr>
      <t xml:space="preserve">LET OP: </t>
    </r>
    <r>
      <rPr>
        <sz val="11"/>
        <rFont val="Calibri"/>
        <family val="2"/>
        <scheme val="minor"/>
      </rPr>
      <t>Het overgangsrecht levensloopregeling is gestopt per 1 januari 2022</t>
    </r>
  </si>
  <si>
    <t>Vervallen m.i.v. 01-01-2022</t>
  </si>
  <si>
    <t>(vervallen m.i.v. 01-01-2022)</t>
  </si>
  <si>
    <t>Bijstands-/participatiewet uitkering?</t>
  </si>
  <si>
    <t>Dit is de gebruikelijke berekening als er sprake is van een weekloon: (46 x bruto weekloon) + (46 x belaste waarde vakantiebonnen)
Vul hier het volledige bedrag aan vakantiebonnen in. Voor de werknemer die vakantiebonnen ontvangt, wordt 99% belast en 1% onbelast. Dit onbelaste bedrag wordt opgenomen bij post 119.</t>
  </si>
  <si>
    <t>Het % van deze premie is sinds 01-01-2009 0%, dus hier niets invullen!</t>
  </si>
  <si>
    <t>Bruto pensioen uitkering (OP, NP en IP-BW)</t>
  </si>
  <si>
    <t>Wordt berekend o.b.v. de geboortedatum &amp; (vastgezette) berekeningsdatum (zie cel C15)</t>
  </si>
  <si>
    <r>
      <rPr>
        <b/>
        <u/>
        <sz val="11"/>
        <color theme="1"/>
        <rFont val="Calibri"/>
        <family val="2"/>
        <scheme val="minor"/>
      </rPr>
      <t>Ja</t>
    </r>
    <r>
      <rPr>
        <sz val="11"/>
        <color theme="1"/>
        <rFont val="Calibri"/>
        <family val="2"/>
        <scheme val="minor"/>
      </rPr>
      <t xml:space="preserve"> invullen als er sprake is van inkomsten uit arbeid (BOX I)</t>
    </r>
  </si>
  <si>
    <r>
      <rPr>
        <b/>
        <u/>
        <sz val="11"/>
        <color theme="1"/>
        <rFont val="Calibri"/>
        <family val="2"/>
        <scheme val="minor"/>
      </rPr>
      <t>Ja</t>
    </r>
    <r>
      <rPr>
        <sz val="11"/>
        <color theme="1"/>
        <rFont val="Calibri"/>
        <family val="2"/>
        <scheme val="minor"/>
      </rPr>
      <t xml:space="preserve"> invullen als er sprake is van een (gedeeltelijke)</t>
    </r>
    <r>
      <rPr>
        <b/>
        <u/>
        <sz val="11"/>
        <color theme="1"/>
        <rFont val="Calibri"/>
        <family val="2"/>
        <scheme val="minor"/>
      </rPr>
      <t xml:space="preserve"> bijstand</t>
    </r>
    <r>
      <rPr>
        <sz val="11"/>
        <color theme="1"/>
        <rFont val="Calibri"/>
        <family val="2"/>
        <scheme val="minor"/>
      </rPr>
      <t>suitkering</t>
    </r>
  </si>
  <si>
    <t>Bereken de pensioendatum op site van de SVB</t>
  </si>
  <si>
    <t>Budget dat wordt uitbetaald geldt als bruto inkomen voor alimentatie!</t>
  </si>
  <si>
    <t>Moet bij een keuzebudget (zie 49) vaak op 0% worden gezet</t>
  </si>
  <si>
    <r>
      <t xml:space="preserve">Totale </t>
    </r>
    <r>
      <rPr>
        <b/>
        <u/>
        <sz val="11"/>
        <color rgb="FFFF0000"/>
        <rFont val="Calibri"/>
        <family val="2"/>
        <scheme val="minor"/>
      </rPr>
      <t>JAAR</t>
    </r>
    <r>
      <rPr>
        <sz val="11"/>
        <rFont val="Calibri"/>
        <family val="2"/>
        <scheme val="minor"/>
      </rPr>
      <t>waarde</t>
    </r>
    <r>
      <rPr>
        <sz val="11"/>
        <color theme="1"/>
        <rFont val="Calibri"/>
        <family val="2"/>
        <scheme val="minor"/>
      </rPr>
      <t xml:space="preserve"> v/h </t>
    </r>
    <r>
      <rPr>
        <b/>
        <u/>
        <sz val="11"/>
        <color theme="1"/>
        <rFont val="Calibri"/>
        <family val="2"/>
        <scheme val="minor"/>
      </rPr>
      <t>uitgeruilde</t>
    </r>
    <r>
      <rPr>
        <sz val="11"/>
        <color theme="1"/>
        <rFont val="Calibri"/>
        <family val="2"/>
        <scheme val="minor"/>
      </rPr>
      <t xml:space="preserve"> deel v/h IKB/PKB-budget</t>
    </r>
  </si>
  <si>
    <r>
      <t>Budgetdeel</t>
    </r>
    <r>
      <rPr>
        <b/>
        <u/>
        <sz val="11"/>
        <color theme="1"/>
        <rFont val="Calibri"/>
        <family val="2"/>
        <scheme val="minor"/>
      </rPr>
      <t>/jaar</t>
    </r>
    <r>
      <rPr>
        <sz val="11"/>
        <color theme="1"/>
        <rFont val="Calibri"/>
        <family val="2"/>
        <scheme val="minor"/>
      </rPr>
      <t xml:space="preserve"> dat </t>
    </r>
    <r>
      <rPr>
        <b/>
        <u/>
        <sz val="11"/>
        <color theme="1"/>
        <rFont val="Calibri"/>
        <family val="2"/>
        <scheme val="minor"/>
      </rPr>
      <t>structureel</t>
    </r>
    <r>
      <rPr>
        <sz val="11"/>
        <color theme="1"/>
        <rFont val="Calibri"/>
        <family val="2"/>
        <scheme val="minor"/>
      </rPr>
      <t xml:space="preserve"> wordt omgezet in vrije tijd, scholing etc. </t>
    </r>
  </si>
  <si>
    <t>Jaarbedragen</t>
  </si>
  <si>
    <t>Winstvrijstelling</t>
  </si>
  <si>
    <t>92a</t>
  </si>
  <si>
    <t>44/47/48</t>
  </si>
  <si>
    <t>Budgetdeel opgenomen als zorgdagen, studie etc. telt niet mee!</t>
  </si>
  <si>
    <t xml:space="preserve">Niet uitgeruilde deel van het Individueel keuzebudget (IKB/PKB), </t>
  </si>
  <si>
    <t>Vakantietoeslag mee rekenen?</t>
  </si>
  <si>
    <t>Wie heeft de woning verlaten</t>
  </si>
  <si>
    <t>Namen</t>
  </si>
  <si>
    <t>Wie betaald de hypotheekrente</t>
  </si>
  <si>
    <t>Hoogte van de totale hypotheekrente</t>
  </si>
  <si>
    <t>/per jaar</t>
  </si>
  <si>
    <t>Hoogte WOZ-waarde</t>
  </si>
  <si>
    <t>Hoofdsom van de hypotheek schuld</t>
  </si>
  <si>
    <t>Betaalde rente voor ex-partner meenemen vanuit</t>
  </si>
  <si>
    <t>Berekenen vanuit</t>
  </si>
  <si>
    <t>Draagkrachtloos</t>
  </si>
  <si>
    <t>82a</t>
  </si>
  <si>
    <t>83a</t>
  </si>
  <si>
    <t>117a</t>
  </si>
  <si>
    <t>Verlater</t>
  </si>
  <si>
    <t>Blijver</t>
  </si>
  <si>
    <t>Draagkracht of draagkrachtloos inkomen</t>
  </si>
  <si>
    <t>Verlater betaald alle rente</t>
  </si>
  <si>
    <t>Ieder betaald de helft van de rente</t>
  </si>
  <si>
    <t>Blijver betaald alle rente</t>
  </si>
  <si>
    <t>Situatie 1</t>
  </si>
  <si>
    <t>Situatie 2</t>
  </si>
  <si>
    <t>Situatie 3</t>
  </si>
  <si>
    <t>Situatie 4</t>
  </si>
  <si>
    <t>Beiden 50%</t>
  </si>
  <si>
    <t>Hoogte Eigen Woning Forfait</t>
  </si>
  <si>
    <t>Welke situatie is er van toepassing o.b.v. gemaakte keuzes?</t>
  </si>
  <si>
    <t>Is de woning langer dan 24 maanden geleden verlaten?</t>
  </si>
  <si>
    <t>Periode</t>
  </si>
  <si>
    <t>79a</t>
  </si>
  <si>
    <t>+ (per jaar)</t>
  </si>
  <si>
    <r>
      <rPr>
        <b/>
        <sz val="11"/>
        <color rgb="FFFF0000"/>
        <rFont val="Calibri"/>
        <family val="2"/>
        <scheme val="minor"/>
      </rPr>
      <t>-</t>
    </r>
    <r>
      <rPr>
        <sz val="11"/>
        <color rgb="FFFF0000"/>
        <rFont val="Calibri"/>
        <family val="2"/>
        <scheme val="minor"/>
      </rPr>
      <t xml:space="preserve"> (per jaar)</t>
    </r>
  </si>
  <si>
    <t>- (per jaar)</t>
  </si>
  <si>
    <r>
      <t xml:space="preserve">Zijn er in het convenant afspraken gemaakt over het </t>
    </r>
    <r>
      <rPr>
        <b/>
        <u/>
        <sz val="11"/>
        <color theme="1"/>
        <rFont val="Calibri"/>
        <family val="2"/>
        <scheme val="minor"/>
      </rPr>
      <t>NA SCHEIDING</t>
    </r>
    <r>
      <rPr>
        <b/>
        <sz val="11"/>
        <color theme="1"/>
        <rFont val="Calibri"/>
        <family val="2"/>
        <scheme val="minor"/>
      </rPr>
      <t xml:space="preserve"> en </t>
    </r>
    <r>
      <rPr>
        <b/>
        <u/>
        <sz val="11"/>
        <color theme="1"/>
        <rFont val="Calibri"/>
        <family val="2"/>
        <scheme val="minor"/>
      </rPr>
      <t>NA VERDELING</t>
    </r>
    <r>
      <rPr>
        <b/>
        <sz val="11"/>
        <color theme="1"/>
        <rFont val="Calibri"/>
        <family val="2"/>
        <scheme val="minor"/>
      </rPr>
      <t xml:space="preserve"> Eigen Woning betalen van hypotheekrente/aflossing voor de ex. partner? Dan deze bedragen hier invullen. 
(Deze komen terug in de posten 138 (Alimentatieverplichtingen), 83 (Eigen Woning) en 79 (Periodieke uitkeringen)) </t>
    </r>
  </si>
  <si>
    <t>Eigen Woning Forfait ontvangen als partneralimentatie</t>
  </si>
  <si>
    <t>Eigen Woning Forfait van de Onverdeeld Eigen Woning</t>
  </si>
  <si>
    <t>Eigen Woning Forfait betaald als partneralimentatie</t>
  </si>
  <si>
    <t>Rente ontvangen als partneralimentatie</t>
  </si>
  <si>
    <r>
      <rPr>
        <sz val="11"/>
        <color theme="1"/>
        <rFont val="Calibri"/>
        <family val="2"/>
        <scheme val="minor"/>
      </rPr>
      <t>Rente Onverdeeld Eigen Woning</t>
    </r>
  </si>
  <si>
    <t>Rente betaald voor ex. partner als partneralimentatie</t>
  </si>
  <si>
    <t>Rente Onverdeeld Eigen Woning Eigen aandeel</t>
  </si>
  <si>
    <t>Betaalde aflossing/maand</t>
  </si>
  <si>
    <t>Periodieke betalingen erfpacht e.d./ maand</t>
  </si>
  <si>
    <r>
      <t xml:space="preserve">Rente bijdrage ZVW over de rente </t>
    </r>
    <r>
      <rPr>
        <u/>
        <sz val="11"/>
        <color theme="1"/>
        <rFont val="Calibri"/>
        <family val="2"/>
        <scheme val="minor"/>
      </rPr>
      <t>berekenen over</t>
    </r>
  </si>
  <si>
    <r>
      <t xml:space="preserve">Eigen Woning Forfait bijdrage ZVW over EWF </t>
    </r>
    <r>
      <rPr>
        <u/>
        <sz val="11"/>
        <color theme="1"/>
        <rFont val="Calibri"/>
        <family val="2"/>
        <scheme val="minor"/>
      </rPr>
      <t>berekenen over</t>
    </r>
  </si>
  <si>
    <r>
      <t xml:space="preserve">Aandeel in </t>
    </r>
    <r>
      <rPr>
        <b/>
        <u/>
        <sz val="11"/>
        <color theme="1"/>
        <rFont val="Calibri"/>
        <family val="2"/>
        <scheme val="minor"/>
      </rPr>
      <t>schuld</t>
    </r>
    <r>
      <rPr>
        <sz val="11"/>
        <color theme="1"/>
        <rFont val="Calibri"/>
        <family val="2"/>
        <scheme val="minor"/>
      </rPr>
      <t xml:space="preserve"> van de Onverdeeld Eigen Woning in </t>
    </r>
    <r>
      <rPr>
        <b/>
        <u/>
        <sz val="11"/>
        <color theme="1"/>
        <rFont val="Calibri"/>
        <family val="2"/>
        <scheme val="minor"/>
      </rPr>
      <t xml:space="preserve">box 3 </t>
    </r>
  </si>
  <si>
    <t>Hypotheekrente/Premie levensverzekering per maand</t>
  </si>
  <si>
    <t>Bruto loon uit loondienst (waarover al ZKV is betaald):</t>
  </si>
  <si>
    <t>In mindering te brengen bijtelling auto van de zaak</t>
  </si>
  <si>
    <t>Ink.afhankelijke bijdrage premie ZVW (niet zijnde AOW)</t>
  </si>
  <si>
    <t>124d</t>
  </si>
  <si>
    <t>124f</t>
  </si>
  <si>
    <t>(evt. correctie hierboven invullen bij Af: Korting onredelijke wooonlast)</t>
  </si>
  <si>
    <t>OEW: Totaal fictief PA-inkomen verkregen via EWF / Rente:</t>
  </si>
  <si>
    <t>Op aanslag verschuldigde inkomensafhankelijke bijdrage ZVW</t>
  </si>
  <si>
    <t>Bruto jaar inkomen uit loon:</t>
  </si>
  <si>
    <t>41-50</t>
  </si>
  <si>
    <t>Bruto AOW-uitkering</t>
  </si>
  <si>
    <t>Bruto loon volgens jaaropgaaf werkgever(s)</t>
  </si>
  <si>
    <t>Alle inkomsten die niet uit loondienst komen, zoals bijv. freelancer of gastouder moeten hier worden opgegeven</t>
  </si>
  <si>
    <t>Totaal aan (loon)inkomsten waarover al ZVW-premie is afgedragen:</t>
  </si>
  <si>
    <t>ZVW-plichtig bedrag</t>
  </si>
  <si>
    <t>Premie ZVW afdracht over partneralimentatie/AOW</t>
  </si>
  <si>
    <t>Dit is het max. ZVW-restbedrag wat gebruikt kan worden bij andere posten hierna met een ZVW-premie afdrachtplicht</t>
  </si>
  <si>
    <t>Resterend bedrag waarover nog ZVW-premie geheven kan worden:</t>
  </si>
  <si>
    <t>ZVW-premie afdracht</t>
  </si>
  <si>
    <t>Overige inkomsten waarover nog ZVW-premie geheven kan worden:</t>
  </si>
  <si>
    <t xml:space="preserve">(nr.113 - nr.117(a) + nr.118 + 119a - 119b </t>
  </si>
  <si>
    <r>
      <t xml:space="preserve">Hypotheekrentebetalingen aan ex. partner </t>
    </r>
    <r>
      <rPr>
        <b/>
        <u/>
        <sz val="11"/>
        <rFont val="Calibri"/>
        <family val="2"/>
        <scheme val="minor"/>
      </rPr>
      <t>na scheiding</t>
    </r>
    <r>
      <rPr>
        <sz val="11"/>
        <rFont val="Calibri"/>
        <family val="2"/>
        <scheme val="minor"/>
      </rPr>
      <t xml:space="preserve"> en </t>
    </r>
    <r>
      <rPr>
        <b/>
        <u/>
        <sz val="11"/>
        <rFont val="Calibri"/>
        <family val="2"/>
        <scheme val="minor"/>
      </rPr>
      <t>nadat</t>
    </r>
    <r>
      <rPr>
        <sz val="11"/>
        <rFont val="Calibri"/>
        <family val="2"/>
        <scheme val="minor"/>
      </rPr>
      <t xml:space="preserve"> de Eigen Woning Verdeeld (VEW) is.</t>
    </r>
  </si>
  <si>
    <t>Uitgaven voor kinderopvang (vervallen):</t>
  </si>
  <si>
    <t>Vervallen, is vervangen door de Kinderopvangtoeslag!</t>
  </si>
  <si>
    <t>83b</t>
  </si>
  <si>
    <t>Betreft de posten 71 t/m 74, 83, 84, 91 en 92a (lichtgeel)</t>
  </si>
  <si>
    <r>
      <t xml:space="preserve">Bedrag aan </t>
    </r>
    <r>
      <rPr>
        <u/>
        <sz val="11"/>
        <color theme="1"/>
        <rFont val="Calibri"/>
        <family val="2"/>
        <scheme val="minor"/>
      </rPr>
      <t>persoonsgebonden aftrekposten</t>
    </r>
    <r>
      <rPr>
        <sz val="11"/>
        <color theme="1"/>
        <rFont val="Calibri"/>
        <family val="2"/>
        <scheme val="minor"/>
      </rPr>
      <t xml:space="preserve"> waar tariefsbeperking voor </t>
    </r>
    <r>
      <rPr>
        <b/>
        <i/>
        <u/>
        <sz val="11"/>
        <color theme="1"/>
        <rFont val="Calibri"/>
        <family val="2"/>
        <scheme val="minor"/>
      </rPr>
      <t>kan</t>
    </r>
    <r>
      <rPr>
        <sz val="11"/>
        <color theme="1"/>
        <rFont val="Calibri"/>
        <family val="2"/>
        <scheme val="minor"/>
      </rPr>
      <t xml:space="preserve"> gelden</t>
    </r>
  </si>
  <si>
    <t>n.v.t.</t>
  </si>
  <si>
    <r>
      <rPr>
        <b/>
        <u/>
        <sz val="11"/>
        <color theme="1"/>
        <rFont val="Calibri"/>
        <family val="2"/>
        <scheme val="minor"/>
      </rPr>
      <t>Netto</t>
    </r>
    <r>
      <rPr>
        <sz val="11"/>
        <color theme="1"/>
        <rFont val="Calibri"/>
        <family val="2"/>
        <scheme val="minor"/>
      </rPr>
      <t xml:space="preserve"> belastingvoordeel/nadeel Eigen Woning/maand:</t>
    </r>
  </si>
  <si>
    <r>
      <rPr>
        <b/>
        <u/>
        <sz val="11"/>
        <color theme="1"/>
        <rFont val="Calibri"/>
        <family val="2"/>
        <scheme val="minor"/>
      </rPr>
      <t>Bruto</t>
    </r>
    <r>
      <rPr>
        <sz val="11"/>
        <color theme="1"/>
        <rFont val="Calibri"/>
        <family val="2"/>
        <scheme val="minor"/>
      </rPr>
      <t xml:space="preserve"> belastingvoordeel/nadeel Eigen Woning/maand:</t>
    </r>
  </si>
  <si>
    <t>HBO/WO college geld korting?</t>
  </si>
  <si>
    <r>
      <t xml:space="preserve">Alleen bij een </t>
    </r>
    <r>
      <rPr>
        <b/>
        <u/>
        <sz val="11"/>
        <color rgb="FFFF0000"/>
        <rFont val="Calibri"/>
        <family val="2"/>
        <scheme val="minor"/>
      </rPr>
      <t>herberekening</t>
    </r>
    <r>
      <rPr>
        <b/>
        <u/>
        <sz val="11"/>
        <rFont val="Calibri"/>
        <family val="2"/>
        <scheme val="minor"/>
      </rPr>
      <t>: G</t>
    </r>
    <r>
      <rPr>
        <sz val="11"/>
        <color theme="1"/>
        <rFont val="Calibri"/>
        <family val="2"/>
        <scheme val="minor"/>
      </rPr>
      <t>aat hier om het Netto Besteedbaar Gezinsinkomen uit het jaar van scheiding invullen</t>
    </r>
  </si>
  <si>
    <t>(Eerdere) alimentatie gegevens (= nodig bij een herberekening)</t>
  </si>
  <si>
    <t>Overige bruto arbeidsinkomsten anders dan uit de hiervoor genoemde posten 41 t/m 48</t>
  </si>
  <si>
    <r>
      <t xml:space="preserve">Overige bruto arbeidsinkomsten </t>
    </r>
    <r>
      <rPr>
        <b/>
        <u/>
        <sz val="11"/>
        <color theme="1"/>
        <rFont val="Calibri"/>
        <family val="2"/>
        <scheme val="minor"/>
      </rPr>
      <t>per jaar</t>
    </r>
  </si>
  <si>
    <t>Te verwachten beschikbare winst (voor ondernemersaftrek)</t>
  </si>
  <si>
    <t>VEW: Fictief inkomen partneralimentatie (zie post 83b)</t>
  </si>
  <si>
    <t>Door werkgever/uitkeringsinstantie ingehouden inkomensafhankelijke bijdrage ZVW (vervallen)</t>
  </si>
  <si>
    <r>
      <t xml:space="preserve">Dit is het loon o.b.v. een jaaropgave (indien ingevuld), dit wordt echter afgeraden i.v.m. zuiverheid van de berekening! 
</t>
    </r>
    <r>
      <rPr>
        <b/>
        <sz val="11"/>
        <color rgb="FFFF0000"/>
        <rFont val="Calibri"/>
        <family val="2"/>
        <scheme val="minor"/>
      </rPr>
      <t>TIP: Bereken de alimentatie (ook) altijd via invullen van de nr's 41 t/m 58</t>
    </r>
  </si>
  <si>
    <t>Totaal aantal kinderen</t>
  </si>
  <si>
    <r>
      <t xml:space="preserve">Een NBI tbv KA  &gt; </t>
    </r>
    <r>
      <rPr>
        <sz val="11"/>
        <color theme="1"/>
        <rFont val="Calibri"/>
        <family val="2"/>
      </rPr>
      <t>€</t>
    </r>
    <r>
      <rPr>
        <sz val="7.7"/>
        <color theme="1"/>
        <rFont val="Calibri"/>
        <family val="2"/>
      </rPr>
      <t xml:space="preserve"> </t>
    </r>
    <r>
      <rPr>
        <sz val="11"/>
        <color theme="1"/>
        <rFont val="Calibri"/>
        <family val="2"/>
        <scheme val="minor"/>
      </rPr>
      <t>6000, toch maximaliseren op € 6000?</t>
    </r>
  </si>
  <si>
    <t xml:space="preserve">Onderstaande NBI wordt uiteindelijk gebruikt: </t>
  </si>
  <si>
    <t>Netto Gezinsinkomen (NBI)</t>
  </si>
  <si>
    <t>Eigen aandeel ouders vlgs NIBUD-tabel:</t>
  </si>
  <si>
    <t>In mindering te brengen op zorgkorting:</t>
  </si>
  <si>
    <t>Korting uitgedrukt in %:</t>
  </si>
  <si>
    <t>Winst uit onderneming incl. aftrekbeperking</t>
  </si>
  <si>
    <t>65-66</t>
  </si>
  <si>
    <t>Bruto inkomen box 1:</t>
  </si>
  <si>
    <t>Te ontvangen partneralimentatie</t>
  </si>
  <si>
    <t>Feitelijke inkomsten box 2 en 3:</t>
  </si>
  <si>
    <t>Onbelast inkomen:</t>
  </si>
  <si>
    <t>Totaal inkomen- incl. alimentatieverplichting ex. partner(s)</t>
  </si>
  <si>
    <t>Te betalen / ontvangen alimentatie (komt uit cel J16)</t>
  </si>
  <si>
    <t>Belastbaar verzamelinkomen uit werk en woning (a t/m h) (Box I):</t>
  </si>
  <si>
    <t>Totaal inkomen:</t>
  </si>
  <si>
    <t>Belastbaar verzamelinkomen:</t>
  </si>
  <si>
    <t>Bedrag waarover een eventuele toptarief beperking kan gelden:</t>
  </si>
  <si>
    <t>Correctie toptarief / Bedrag waarover de tariefsbeperking geldt:</t>
  </si>
  <si>
    <t xml:space="preserve"> Belasting bij Jusvergelijking</t>
  </si>
  <si>
    <t>Inkomenstenbelasting Box I:</t>
  </si>
  <si>
    <t xml:space="preserve">- </t>
  </si>
  <si>
    <t>Corrigeer met +/-:</t>
  </si>
  <si>
    <t>Volgnr.</t>
  </si>
  <si>
    <t>Post</t>
  </si>
  <si>
    <t>NBI per maand</t>
  </si>
  <si>
    <t>NBI per jaar</t>
  </si>
  <si>
    <t xml:space="preserve"> </t>
  </si>
  <si>
    <t>Bijtelling auto (t.b.v. verzamelinkomen bruto/netto berekeningen)</t>
  </si>
  <si>
    <t>Geen / kleine eigenwoningschuld (wet Hillen)</t>
  </si>
  <si>
    <t>Eigen woning forfait (EWF)</t>
  </si>
  <si>
    <t>Geeft het EWF uit 82 minus de aftrekbare kosten een + restbedrag? 
Dan is er een aftrek op het in rekening gebrachte EWF-bedrag</t>
  </si>
  <si>
    <t>Als er weinig of geen draagkracht vind correctie plaats o.b.v. tabellen hieronder</t>
  </si>
  <si>
    <t>Aftrekbare rente &amp; aftrekbare kosten/per jaar:</t>
  </si>
  <si>
    <t>(keuzetabel)</t>
  </si>
  <si>
    <t>Alleenstaande ouderenkorting</t>
  </si>
  <si>
    <t>Woonbudget %  van het NBI</t>
  </si>
  <si>
    <r>
      <t>Bruto AOW-uitkering (</t>
    </r>
    <r>
      <rPr>
        <sz val="11"/>
        <color rgb="FFFF0000"/>
        <rFont val="Calibri"/>
        <family val="2"/>
        <scheme val="minor"/>
      </rPr>
      <t>geen premies werknemersverzekeringen</t>
    </r>
    <r>
      <rPr>
        <sz val="11"/>
        <color theme="1"/>
        <rFont val="Calibri"/>
        <family val="2"/>
        <scheme val="minor"/>
      </rPr>
      <t>)</t>
    </r>
  </si>
  <si>
    <t>Vakantietoeslag (meestal 8%)</t>
  </si>
  <si>
    <t>Bruto arbeidsinkomen bouw inclusief belast deel waarde vakantiebonnen, 46 weken (zie 118 voor het onbelaste deel)</t>
  </si>
  <si>
    <t>Stakingsaftrek (max € 3630,-)</t>
  </si>
  <si>
    <t>Bank- en spaartegoeden en contant geld</t>
  </si>
  <si>
    <t>Cat.</t>
  </si>
  <si>
    <t>Schulden</t>
  </si>
  <si>
    <t>d. Schulden (schuld - drempelbedrag):</t>
  </si>
  <si>
    <t xml:space="preserve">    Af: Drempel bij schulden (alleenstaande):</t>
  </si>
  <si>
    <t>Totaal vermogen / Belastbaar rendement:</t>
  </si>
  <si>
    <t>Totale woonbudget of werkelijke lasten:</t>
  </si>
  <si>
    <r>
      <t xml:space="preserve">Als de woonlast </t>
    </r>
    <r>
      <rPr>
        <b/>
        <u/>
        <sz val="11"/>
        <rFont val="Calibri"/>
        <family val="2"/>
        <scheme val="minor"/>
      </rPr>
      <t>ZONDER GELDIGE REDEN</t>
    </r>
    <r>
      <rPr>
        <sz val="11"/>
        <rFont val="Calibri"/>
        <family val="2"/>
        <scheme val="minor"/>
      </rPr>
      <t xml:space="preserve"> te hoog is (Zie hieronder) mag er een correctie worden toepast, maximaal ter hoogte van het onredelijk geachte deel.</t>
    </r>
  </si>
  <si>
    <t>Beschikbaar voor kinder- (uit huidige of een eerder huwelijk)/ partneralimentatie:</t>
  </si>
  <si>
    <t>MBO Berekend</t>
  </si>
  <si>
    <t>HBO/WO Berekend</t>
  </si>
  <si>
    <t>0 t/m 17 (Tabel)</t>
  </si>
  <si>
    <t>Totaal aantal kinderen:</t>
  </si>
  <si>
    <t>Tabel eigen aandeel kosten van kinderen (maandbedragen)</t>
  </si>
  <si>
    <t>Aantal
kinderen</t>
  </si>
  <si>
    <t>Leeftijdscategorie kind</t>
  </si>
  <si>
    <t>Aantal kinderen per categorie</t>
  </si>
  <si>
    <t>Aantal kinderen</t>
  </si>
  <si>
    <t>Minimum inkomensgrens</t>
  </si>
  <si>
    <t>Maximum inkomensgrens</t>
  </si>
  <si>
    <t>Gevonden kosten:</t>
  </si>
  <si>
    <t>Eigen aandeel ouders volgens NIBUD tabel</t>
  </si>
  <si>
    <t>Zie: Wit/groene regel in de tabel hiernaast</t>
  </si>
  <si>
    <t>Zorgkorting na correctie</t>
  </si>
  <si>
    <t>Max. zorgkorting</t>
  </si>
  <si>
    <t>2a</t>
  </si>
  <si>
    <t>2b</t>
  </si>
  <si>
    <r>
      <t xml:space="preserve">Met ingang van </t>
    </r>
    <r>
      <rPr>
        <b/>
        <u/>
        <sz val="11"/>
        <color theme="1"/>
        <rFont val="Calibri"/>
        <family val="2"/>
        <scheme val="minor"/>
      </rPr>
      <t>01-01-2023</t>
    </r>
    <r>
      <rPr>
        <sz val="11"/>
        <color theme="1"/>
        <rFont val="Calibri"/>
        <family val="2"/>
        <scheme val="minor"/>
      </rPr>
      <t xml:space="preserve"> wordt er voor de partneralimentatie - net als bij het bepalen van de kinderalimentatie - uitgegaan van een forfaitair woonbudget i.p.v. de werkelijke woonlasten/ziektekosten. Hiermee komen de posten 124 t/m 133 te vervallen.</t>
    </r>
  </si>
  <si>
    <t>Zijn er meer dan 4 meetellende kinderen? 
Dan tellen er max. 4 mee!</t>
  </si>
  <si>
    <t>Zijn er meer dan 4 kinderen? 
Dan tellen er max. 4 mee!</t>
  </si>
  <si>
    <t xml:space="preserve"> Max. 4 kinderen t.a.v. Eigen aandeel</t>
  </si>
  <si>
    <r>
      <rPr>
        <b/>
        <u/>
        <sz val="11"/>
        <rFont val="Calibri"/>
        <family val="2"/>
        <scheme val="minor"/>
      </rPr>
      <t>Advies:</t>
    </r>
    <r>
      <rPr>
        <sz val="11"/>
        <rFont val="Calibri"/>
        <family val="2"/>
        <scheme val="minor"/>
      </rPr>
      <t xml:space="preserve"> Werk met de posten 41 t/m 58 i.p.v. met het loon volgens jaaropgave , dit wordt i.v.m. de zuiverheid van de berekening STERK aanbevolen !!!</t>
    </r>
  </si>
  <si>
    <t>18 tot 21 (Student)</t>
  </si>
  <si>
    <t>21 of ouder</t>
  </si>
  <si>
    <t>18 tot 21 (Tabel)</t>
  </si>
  <si>
    <r>
      <t xml:space="preserve">KA na aftrek van Zorgkorting </t>
    </r>
    <r>
      <rPr>
        <b/>
        <sz val="11"/>
        <color rgb="FFFF0000"/>
        <rFont val="Calibri"/>
        <family val="2"/>
        <scheme val="minor"/>
      </rPr>
      <t>na correctie</t>
    </r>
  </si>
  <si>
    <t>Invloed van de kosten t.a.v. de kinderen:</t>
  </si>
  <si>
    <t>De Tremanorm zegt over de per 01-01-2023 geldenden JUS-vergelijking:</t>
  </si>
  <si>
    <r>
      <t xml:space="preserve">De JUS-vergelijking mag er niet toe leiden dat:
1) Er een </t>
    </r>
    <r>
      <rPr>
        <b/>
        <u/>
        <sz val="11"/>
        <color theme="1"/>
        <rFont val="Calibri"/>
        <family val="2"/>
        <scheme val="minor"/>
      </rPr>
      <t>hogere alimentatie</t>
    </r>
    <r>
      <rPr>
        <sz val="11"/>
        <color theme="1"/>
        <rFont val="Calibri"/>
        <family val="2"/>
        <scheme val="minor"/>
      </rPr>
      <t xml:space="preserve"> wordt vastgesteld dan de draagkracht (post 136) van de onderhoudsplichtige toelaat.
2) De onderhoudsplichtige </t>
    </r>
    <r>
      <rPr>
        <b/>
        <u/>
        <sz val="11"/>
        <color theme="1"/>
        <rFont val="Calibri"/>
        <family val="2"/>
        <scheme val="minor"/>
      </rPr>
      <t>meer dan de behoefte</t>
    </r>
    <r>
      <rPr>
        <sz val="11"/>
        <color theme="1"/>
        <rFont val="Calibri"/>
        <family val="2"/>
        <scheme val="minor"/>
      </rPr>
      <t xml:space="preserve"> (post 135) te besteden heeft.</t>
    </r>
  </si>
  <si>
    <t>Soort loon 3</t>
  </si>
  <si>
    <t>Soort loon 2</t>
  </si>
  <si>
    <t>Soort loon 1</t>
  </si>
  <si>
    <t>(Maand/Jaar)</t>
  </si>
  <si>
    <t>(Maand/4-Weken/Week)</t>
  </si>
  <si>
    <t>Bij de keuze DGA = Ja worden de posten 41, 44, 46 t/m 48 toegerekend aan de DGA.</t>
  </si>
  <si>
    <t>41, 44, 46 t/m 48</t>
  </si>
  <si>
    <t>Post 89: Premies uitk. Inkomensvoorzieningen, aftrekbaar</t>
  </si>
  <si>
    <r>
      <rPr>
        <b/>
        <u/>
        <sz val="11"/>
        <rFont val="Calibri"/>
        <family val="2"/>
        <scheme val="minor"/>
      </rPr>
      <t>LET OP:</t>
    </r>
    <r>
      <rPr>
        <sz val="11"/>
        <rFont val="Calibri"/>
        <family val="2"/>
        <scheme val="minor"/>
      </rPr>
      <t xml:space="preserve"> Bij geen/negatief inkomen wordt voor de KA berekening de berekende minimum draagkracht uit de draagkrachttabel aangehouden. Bij een (gedeeltelijke) bijstandsuitkering is dit bedrag echter € 0,-</t>
    </r>
  </si>
  <si>
    <t>Uitkering in het kader van andere sociale verzekeringswetten</t>
  </si>
  <si>
    <t>Bruto uitkering andere sociale verzekeringswetten (niet zijnde bijstand)</t>
  </si>
  <si>
    <t>Netto inkomen:</t>
  </si>
  <si>
    <t>- Afbouw algemene heffingskorting bij hoger inkomen tgv alimentatiebedrag</t>
  </si>
  <si>
    <r>
      <rPr>
        <b/>
        <u/>
        <sz val="11"/>
        <rFont val="Calibri"/>
        <family val="2"/>
        <scheme val="minor"/>
      </rPr>
      <t>LET OP:</t>
    </r>
    <r>
      <rPr>
        <sz val="11"/>
        <rFont val="Calibri"/>
        <family val="2"/>
        <scheme val="minor"/>
      </rPr>
      <t xml:space="preserve"> Het gaat hier om het KGB wat </t>
    </r>
    <r>
      <rPr>
        <b/>
        <u/>
        <sz val="11"/>
        <rFont val="Calibri"/>
        <family val="2"/>
        <scheme val="minor"/>
      </rPr>
      <t>NA scheiding</t>
    </r>
    <r>
      <rPr>
        <sz val="11"/>
        <rFont val="Calibri"/>
        <family val="2"/>
        <scheme val="minor"/>
      </rPr>
      <t xml:space="preserve"> wordt/zal worden ontvangen. </t>
    </r>
    <r>
      <rPr>
        <b/>
        <u/>
        <sz val="11"/>
        <rFont val="Calibri"/>
        <family val="2"/>
        <scheme val="minor"/>
      </rPr>
      <t>NIET</t>
    </r>
    <r>
      <rPr>
        <sz val="11"/>
        <rFont val="Calibri"/>
        <family val="2"/>
        <scheme val="minor"/>
      </rPr>
      <t xml:space="preserve"> om het KGB wat ten tijde van de relatie al werd ontvangen, dit is al verwerkt in het NBI!</t>
    </r>
  </si>
  <si>
    <r>
      <t>- Kindgebonden budget + Alleenstaande ouderkop (</t>
    </r>
    <r>
      <rPr>
        <sz val="11"/>
        <color rgb="FFFF0000"/>
        <rFont val="Calibri"/>
        <family val="2"/>
        <scheme val="minor"/>
      </rPr>
      <t>zie Toelichting in kolom H !!!</t>
    </r>
    <r>
      <rPr>
        <sz val="11"/>
        <color theme="1"/>
        <rFont val="Calibri"/>
        <family val="2"/>
        <scheme val="minor"/>
      </rPr>
      <t>)</t>
    </r>
  </si>
  <si>
    <t>- Bij te tellen heffingskorting partner (zie Toelichting in kolom H !!!)</t>
  </si>
  <si>
    <t>Arbeidsinkomen t.b.v. KGB berekening:</t>
  </si>
  <si>
    <t>57a</t>
  </si>
  <si>
    <t>Bij de keuze DGA = Ja worden de posten 41, 44, 46 t/m 48 toegerekend aan de DGA. Dit wordt verrekend bij post 119b</t>
  </si>
  <si>
    <t>Afwijkende woonlasten berekening</t>
  </si>
  <si>
    <r>
      <t>=&gt; L</t>
    </r>
    <r>
      <rPr>
        <b/>
        <sz val="12"/>
        <color rgb="FF00B050"/>
        <rFont val="Calibri"/>
        <family val="2"/>
        <scheme val="minor"/>
      </rPr>
      <t>aagste</t>
    </r>
    <r>
      <rPr>
        <b/>
        <sz val="12"/>
        <color theme="1"/>
        <rFont val="Calibri"/>
        <family val="2"/>
        <scheme val="minor"/>
      </rPr>
      <t xml:space="preserve"> van deze 3 hierboven is maatgevend &lt;=</t>
    </r>
  </si>
  <si>
    <t>Betaalde hypotheekrente per maand uit onverdeelde woning</t>
  </si>
  <si>
    <t>Betaalde hypotheekrente per maand uit eigen woning</t>
  </si>
  <si>
    <t>Studiekosten (vervallen)</t>
  </si>
  <si>
    <t>Is er bij bovenstaande loonposten sprake van inkomsten als DGA waarover er nog premie ZVW moet worden afgedragen?
(DGA wordt dan niet gezien als werknemer in de onderneming, zie post 117a voor de evt. premie afdracht)</t>
  </si>
  <si>
    <t>De afwijkende werkelijke woonlast zoals hieronder weergegeven gebruiken?</t>
  </si>
  <si>
    <t>Bruto methode</t>
  </si>
  <si>
    <t>123/119</t>
  </si>
  <si>
    <t>Een aan de ex.partner betaalde woonvergoeding wordt gezien als kale huur</t>
  </si>
  <si>
    <t>123 (119)</t>
  </si>
  <si>
    <r>
      <t xml:space="preserve">Gaat hier om afspraken, gemaakt na de scheiding </t>
    </r>
    <r>
      <rPr>
        <b/>
        <u/>
        <sz val="11"/>
        <rFont val="Calibri"/>
        <family val="2"/>
        <scheme val="minor"/>
      </rPr>
      <t>en</t>
    </r>
    <r>
      <rPr>
        <sz val="11"/>
        <rFont val="Calibri"/>
        <family val="2"/>
        <scheme val="minor"/>
      </rPr>
      <t xml:space="preserve"> de verdeling van de eigen woning</t>
    </r>
  </si>
  <si>
    <t xml:space="preserve">      OEW: WOZ-waarde van de woning (50%)</t>
  </si>
  <si>
    <t>Totaal vermogen tbv KA</t>
  </si>
  <si>
    <t>Belastbaar Rendement tbv KA</t>
  </si>
  <si>
    <t>Totaal vermogen tbv PA</t>
  </si>
  <si>
    <t>Belastbaar Rendement t.b.v. PA</t>
  </si>
  <si>
    <r>
      <t xml:space="preserve">(transport) </t>
    </r>
    <r>
      <rPr>
        <b/>
        <u/>
        <sz val="11"/>
        <color theme="1"/>
        <rFont val="Calibri"/>
        <family val="2"/>
        <scheme val="minor"/>
      </rPr>
      <t>Post 85 wordt voor PA niet meer meegerekend per 01-01-23</t>
    </r>
  </si>
  <si>
    <t>Post 85</t>
  </si>
  <si>
    <t>Post 85 * Belastingtarief Schijf 1</t>
  </si>
  <si>
    <t>Ontvangt</t>
  </si>
  <si>
    <t>Betaald</t>
  </si>
  <si>
    <r>
      <t>Afgesproken verplichtingen</t>
    </r>
    <r>
      <rPr>
        <b/>
        <u/>
        <sz val="12"/>
        <color rgb="FFFF0000"/>
        <rFont val="Calibri"/>
        <family val="2"/>
        <scheme val="minor"/>
      </rPr>
      <t xml:space="preserve"> NA scheiding</t>
    </r>
    <r>
      <rPr>
        <b/>
        <u/>
        <sz val="12"/>
        <color theme="1"/>
        <rFont val="Calibri"/>
        <family val="2"/>
        <scheme val="minor"/>
      </rPr>
      <t xml:space="preserve"> en </t>
    </r>
    <r>
      <rPr>
        <b/>
        <u/>
        <sz val="12"/>
        <color rgb="FFFF0000"/>
        <rFont val="Calibri"/>
        <family val="2"/>
        <scheme val="minor"/>
      </rPr>
      <t>NA</t>
    </r>
    <r>
      <rPr>
        <b/>
        <u/>
        <sz val="12"/>
        <color theme="1"/>
        <rFont val="Calibri"/>
        <family val="2"/>
        <scheme val="minor"/>
      </rPr>
      <t xml:space="preserve"> verdeling Eigen Woning (VEW)</t>
    </r>
  </si>
  <si>
    <t>Onverdeeld Eigen woning</t>
  </si>
  <si>
    <t>VEW: Rente betaald voor ex. partner als partneralimentatie  (zie "Basisgegevens" bij 138)"</t>
  </si>
  <si>
    <t>- Kale huur (incl. noodzakelijke servicekosten)</t>
  </si>
  <si>
    <t>- Hypotheekrente</t>
  </si>
  <si>
    <r>
      <t xml:space="preserve">Eigen Woning berekening maken o.b.v. de </t>
    </r>
    <r>
      <rPr>
        <b/>
        <sz val="11"/>
        <color rgb="FFFF0000"/>
        <rFont val="Calibri"/>
        <family val="2"/>
        <scheme val="minor"/>
      </rPr>
      <t>Onverdeelde Eigen Woning</t>
    </r>
    <r>
      <rPr>
        <b/>
        <sz val="11"/>
        <rFont val="Calibri"/>
        <family val="2"/>
        <scheme val="minor"/>
      </rPr>
      <t>-module</t>
    </r>
    <r>
      <rPr>
        <b/>
        <sz val="11"/>
        <color theme="1"/>
        <rFont val="Calibri"/>
        <family val="2"/>
        <scheme val="minor"/>
      </rPr>
      <t>?</t>
    </r>
  </si>
  <si>
    <t>Tabblad "Woonlasten_afwijkend"</t>
  </si>
  <si>
    <r>
      <t xml:space="preserve">Deze </t>
    </r>
    <r>
      <rPr>
        <b/>
        <u/>
        <sz val="12"/>
        <color theme="1"/>
        <rFont val="Calibri"/>
        <family val="2"/>
        <scheme val="minor"/>
      </rPr>
      <t>gratis</t>
    </r>
    <r>
      <rPr>
        <sz val="12"/>
        <color theme="1"/>
        <rFont val="Calibri"/>
        <family val="2"/>
        <scheme val="minor"/>
      </rPr>
      <t xml:space="preserve"> Excel sheet is met zorg en zorgvuldigheid gemaakt en via proefberekeningen getoetst op juistheid van de verschillende berekeningen. Desondanks is het mogelijk dat er in deze Excel nog onjuistheden en/of onvolkomenheden voorkomen. Noch voor onverhoopte schade etc. als gevolg van fouten, onjuistheden en/of onvolkomenheden etc., noch voor problemen bij/door het gebruiken en/of het verspreiden van deze Excel sheet kan ik verantwoording dragen en ook op geen enkele wijze aansprakelijk worden gesteld. </t>
    </r>
  </si>
  <si>
    <t>Netto bijstandsuitkering</t>
  </si>
  <si>
    <t>Subtotaal woonlasten:</t>
  </si>
  <si>
    <t>AF</t>
  </si>
  <si>
    <t>De uitkomst zelf wegen en zonodig hierboven het correctiebedrag invullen.</t>
  </si>
  <si>
    <t>Onverdeelde eigen woning (OEW) voor 50%/50% eigendom van beiden</t>
  </si>
  <si>
    <r>
      <t xml:space="preserve">OEW: Afgesproken vergoeding voor gederfd woongenot </t>
    </r>
    <r>
      <rPr>
        <b/>
        <u/>
        <sz val="12"/>
        <color rgb="FFFF0000"/>
        <rFont val="Calibri"/>
        <family val="2"/>
        <scheme val="minor"/>
      </rPr>
      <t>(optioneel)</t>
    </r>
  </si>
  <si>
    <t>Als er met de verlater van de woning een woonvergoeding is afgesproken wegens gederfd woongenot (komt terug bij post 119 / 132)</t>
  </si>
  <si>
    <t>De door de verlater van de woning te ontvangen vergoeding voor gederfd woongenot (woonvergoeding)</t>
  </si>
  <si>
    <t>- Kale huur: Aan de verlater van de woning te betalen woonvergoeding</t>
  </si>
  <si>
    <t>51a</t>
  </si>
  <si>
    <t>Bruto arbeidsinkomen uit dienstbetrekking (1 en 2)</t>
  </si>
  <si>
    <t>Subtotaal arbeidsinkomsten uit post 41, 44 en 46 t/m 48:</t>
  </si>
  <si>
    <t>M.i.v. 01-01-2023 telt aftrekpost Eigen Woning niet meer mee bij PA/KA</t>
  </si>
  <si>
    <t>Beperking persoonlijke aftrekpost: Ondernemersaftrek en Persoonsgebonden aftrek bij de hoogste belastingschijf</t>
  </si>
  <si>
    <t>Dit te ontvangen KGB opvoeren bij Post 119a t.b.v. PA/KA?</t>
  </si>
  <si>
    <t>Netto inkomsten (per jaar)</t>
  </si>
  <si>
    <t>Vakantiebonnen (bouw)</t>
  </si>
  <si>
    <t>- Korting wegens een onredelijke woonlast</t>
  </si>
  <si>
    <t>Werkelijke woonlasten en ziektekosten</t>
  </si>
  <si>
    <t>Belasting incl. eigen woning (85)</t>
  </si>
  <si>
    <t xml:space="preserve"> Belasting incl. post 85 Eigen woning</t>
  </si>
  <si>
    <t>Incl. eigen woning (85)</t>
  </si>
  <si>
    <t>Geschoond incl. post 85 Eigen Woning</t>
  </si>
  <si>
    <t>Behoefteberekening</t>
  </si>
  <si>
    <t>Premies voor uitkering bij ziekte, ongeval of invaliditeit (aftrekbaar)
LET Op: Deze zijn al opgevoerd bij post 86/87, is hier altijd 0</t>
  </si>
  <si>
    <t>Zie onder Inkomensvoorzieningen post 86 en 87</t>
  </si>
  <si>
    <t>VEW: Ontvangen hypotheekrente als partneralimentatie</t>
  </si>
  <si>
    <t>Zie in tabblad "Alimentatie 20xx-xx" onder post 117 ZVW-premies</t>
  </si>
  <si>
    <t>41/57</t>
  </si>
  <si>
    <t>De berekende en nog af te dragen premies ZVW (zie 117a)</t>
  </si>
  <si>
    <t>Uitkeringen en verstrekkingen</t>
  </si>
  <si>
    <t>Persoonsgebonden aftrek</t>
  </si>
  <si>
    <t>Netto uitgaven (per jaar)</t>
  </si>
  <si>
    <t>Zie post 75</t>
  </si>
  <si>
    <t>Zie post 78</t>
  </si>
  <si>
    <t>Zie post 79a</t>
  </si>
  <si>
    <t>Zie post 81</t>
  </si>
  <si>
    <t>Zie post 117a</t>
  </si>
  <si>
    <r>
      <t xml:space="preserve">(Op aanslag betaalde) inkomensafhankelijke bijdrage ZVW, </t>
    </r>
    <r>
      <rPr>
        <sz val="11"/>
        <color rgb="FFFF0000"/>
        <rFont val="Calibri"/>
        <family val="2"/>
        <scheme val="minor"/>
      </rPr>
      <t>zie voor DGA bij 117a/119b</t>
    </r>
    <r>
      <rPr>
        <sz val="11"/>
        <color theme="1"/>
        <rFont val="Calibri"/>
        <family val="2"/>
        <scheme val="minor"/>
      </rPr>
      <t>!
(niet zijnde uit Post 42 WAO-uitkering)</t>
    </r>
  </si>
  <si>
    <r>
      <t>Nee = Standaard</t>
    </r>
    <r>
      <rPr>
        <sz val="11"/>
        <rFont val="Calibri"/>
        <family val="2"/>
        <scheme val="minor"/>
      </rPr>
      <t xml:space="preserve">, Ja </t>
    </r>
    <r>
      <rPr>
        <u/>
        <sz val="11"/>
        <rFont val="Calibri"/>
        <family val="2"/>
        <scheme val="minor"/>
      </rPr>
      <t>alleen bij goede, aantoonbare reden</t>
    </r>
  </si>
  <si>
    <t>Overige lasten:</t>
  </si>
  <si>
    <t>Totaal overige lasten:</t>
  </si>
  <si>
    <t>- Inkomensonafhankelijke combinatiekorting</t>
  </si>
  <si>
    <t>- Ouderenkorting</t>
  </si>
  <si>
    <t>- Alleenstaande ouderenkorting (AOW-ers)</t>
  </si>
  <si>
    <t>- Andere kortingen (Jonggehandicapten, Levensloopverlof, Groene beleggingen)</t>
  </si>
  <si>
    <t>Zelf betaalde inkomensafhankelijke bijdrage ZVW:</t>
  </si>
  <si>
    <t>Subtotaal zelf betaalde ZVW-premie:</t>
  </si>
  <si>
    <t>125-134</t>
  </si>
  <si>
    <t xml:space="preserve">Netto besteedbaar jaarinkomen (NBI) per jaar: </t>
  </si>
  <si>
    <t xml:space="preserve">Niet vermijdbare en aantoonbare extra lasten per maand (post 125 t/m 134): </t>
  </si>
  <si>
    <t xml:space="preserve">Totaal kosten kinderen per maand: </t>
  </si>
  <si>
    <t xml:space="preserve">Geschoond Nette Besteedbaar Inkomen (NBI) per maand: </t>
  </si>
  <si>
    <t xml:space="preserve">Netto besteedbaar inkomen incl. evt. partneralimentatie per maand: </t>
  </si>
  <si>
    <t xml:space="preserve">Netto besteedbaar inkomen voor vergelijking van de beide inkomens per maand: </t>
  </si>
  <si>
    <t>Bijdrage ZVW over de partneralimentatie volgens Jusberekening</t>
  </si>
  <si>
    <t>Totaal zelf af te dragen premie ZVW:</t>
  </si>
  <si>
    <t>Af te dragen premie ZVW over:</t>
  </si>
  <si>
    <t xml:space="preserve">Totaal inhoudingen / verplichtingen: </t>
  </si>
  <si>
    <t>Als het te ontvangen KGB is opgevoerd als kleine netto inkomen (post 119b): AF:</t>
  </si>
  <si>
    <t xml:space="preserve">Netto besteedbaar inkomen na partneralimentatie per maand: </t>
  </si>
  <si>
    <t xml:space="preserve">Netto besteedbaar inkomen na partneralimentatie per jaar:  </t>
  </si>
  <si>
    <t>Netto besteedbaar na alimentie</t>
  </si>
  <si>
    <t xml:space="preserve">Eerste indicatie van de verschuldigde / benodigde partneralimentatie: </t>
  </si>
  <si>
    <t xml:space="preserve">Correctie op de eerder berekende partneralimentatie: </t>
  </si>
  <si>
    <t xml:space="preserve">Gemiddeld netto jaarinkomen van elk (excl. de partneralimentatie): </t>
  </si>
  <si>
    <t xml:space="preserve">Eigen aandeel in de kosten van de kinderen (zie Kinderalimentatie berekening): </t>
  </si>
  <si>
    <t>Jus-/inkomensvergelijking (indicatie)</t>
  </si>
  <si>
    <t>Jus-/inkomensvergelijking (gedetaileerd)</t>
  </si>
  <si>
    <t xml:space="preserve">Werkelijk verschuldigde / benodigde partneralimentatie: </t>
  </si>
  <si>
    <t>Te betalen partneralimentatie volgens jusvergelijking</t>
  </si>
  <si>
    <t>Netto Besteedbaar gezinsinkomen ten tijde van de relatie:</t>
  </si>
  <si>
    <t>Einde</t>
  </si>
  <si>
    <r>
      <t xml:space="preserve">Als de uitkomsten van de alimentatieberekening kloppen moet in het tabblad "Jusvergelijking" de "Vrije ruimte" van de beide partners nog in evenwicht worden gebracht. Dit door in cel </t>
    </r>
    <r>
      <rPr>
        <b/>
        <u/>
        <sz val="11"/>
        <color theme="1"/>
        <rFont val="Calibri"/>
        <family val="2"/>
        <scheme val="minor"/>
      </rPr>
      <t>J30</t>
    </r>
    <r>
      <rPr>
        <sz val="11"/>
        <color theme="1"/>
        <rFont val="Calibri"/>
        <family val="2"/>
        <scheme val="minor"/>
      </rPr>
      <t xml:space="preserve"> een zodanig alimentatiebedrag in te vullen dat de "Vrije ruimte" in evenwicht is. Een voorzet voor het </t>
    </r>
    <r>
      <rPr>
        <u/>
        <sz val="11"/>
        <color theme="1"/>
        <rFont val="Calibri"/>
        <family val="2"/>
        <scheme val="minor"/>
      </rPr>
      <t>(start)bedrag</t>
    </r>
    <r>
      <rPr>
        <b/>
        <u/>
        <sz val="11"/>
        <color theme="1"/>
        <rFont val="Calibri"/>
        <family val="2"/>
        <scheme val="minor"/>
      </rPr>
      <t xml:space="preserve"> staat in </t>
    </r>
    <r>
      <rPr>
        <u/>
        <sz val="11"/>
        <color theme="1"/>
        <rFont val="Calibri"/>
        <family val="2"/>
        <scheme val="minor"/>
      </rPr>
      <t>cel L41</t>
    </r>
    <r>
      <rPr>
        <b/>
        <u/>
        <sz val="11"/>
        <color theme="1"/>
        <rFont val="Calibri"/>
        <family val="2"/>
        <scheme val="minor"/>
      </rPr>
      <t xml:space="preserve">. </t>
    </r>
  </si>
  <si>
    <r>
      <t>- In het tabblad "</t>
    </r>
    <r>
      <rPr>
        <i/>
        <sz val="11"/>
        <color theme="1"/>
        <rFont val="Calibri"/>
        <family val="2"/>
        <scheme val="minor"/>
      </rPr>
      <t>Kinderalimentatie</t>
    </r>
    <r>
      <rPr>
        <sz val="11"/>
        <color theme="1"/>
        <rFont val="Calibri"/>
        <family val="2"/>
        <scheme val="minor"/>
      </rPr>
      <t>" staan de details van de kinderalimentatie berekening.</t>
    </r>
  </si>
  <si>
    <r>
      <t>- In het tabblad "</t>
    </r>
    <r>
      <rPr>
        <i/>
        <sz val="11"/>
        <color theme="1"/>
        <rFont val="Calibri"/>
        <family val="2"/>
        <scheme val="minor"/>
      </rPr>
      <t>Wijzigingen &amp; To Do's</t>
    </r>
    <r>
      <rPr>
        <sz val="11"/>
        <color theme="1"/>
        <rFont val="Calibri"/>
        <family val="2"/>
        <scheme val="minor"/>
      </rPr>
      <t>" staan de gedane aanpassingen en/of de openstaande punten.</t>
    </r>
  </si>
  <si>
    <r>
      <t>- In het tabblad "</t>
    </r>
    <r>
      <rPr>
        <i/>
        <sz val="11"/>
        <color theme="1"/>
        <rFont val="Calibri"/>
        <family val="2"/>
        <scheme val="minor"/>
      </rPr>
      <t>Keuzelijsten</t>
    </r>
    <r>
      <rPr>
        <sz val="11"/>
        <color theme="1"/>
        <rFont val="Calibri"/>
        <family val="2"/>
        <scheme val="minor"/>
      </rPr>
      <t>" staan de tabellen met de gegevens voor de keuzelijsten in deze Excel sheet.</t>
    </r>
  </si>
  <si>
    <r>
      <t xml:space="preserve">In deze Excel wordt uitgegaan van een werkende die in een "standaard"-scheiding zit. Speciale zaken zoals de invloed van samengestelde gezinnen is hier </t>
    </r>
    <r>
      <rPr>
        <u/>
        <sz val="11"/>
        <color theme="1"/>
        <rFont val="Calibri"/>
        <family val="2"/>
        <scheme val="minor"/>
      </rPr>
      <t>NIET</t>
    </r>
    <r>
      <rPr>
        <sz val="11"/>
        <color theme="1"/>
        <rFont val="Calibri"/>
        <family val="2"/>
        <scheme val="minor"/>
      </rPr>
      <t xml:space="preserve"> in opgenomen. Dit gezien de complexiteit en diversiteit hierin. Vaak is in zo'n situatie ook een deskundige vereist.</t>
    </r>
  </si>
  <si>
    <t>Reële, noodzakelijke kosten, gemaakt om het inkomen te verwerven. Reiskosten OV of € 0,18/km. Eventueel ook de aflossing van een hiervoor aangegane lening.</t>
  </si>
  <si>
    <t>Betaalde hypotheekaflossing premie levensverzekering per maand</t>
  </si>
  <si>
    <t>De af te dragen ZVW-premie wordt berekend bij post 117a</t>
  </si>
  <si>
    <t>Bestaat uit de waarde uit de posten onder 102 op de peildatum van 1 januari.</t>
  </si>
  <si>
    <t>Berekening Eigen aandeel ouders conform NIBUD tabel</t>
  </si>
  <si>
    <t>- Netto fiscaal voordeel uit Post 85: Eigen Woning (en bij OEW  83a en 123)</t>
  </si>
  <si>
    <t>Kale huur per maand</t>
  </si>
  <si>
    <t>Maandelijkse huurkosten en Huurtoeslag</t>
  </si>
  <si>
    <t>Betreft het extra eigen risico dat bovenop het wettelijke eigen risico is gekozen</t>
  </si>
  <si>
    <t>Huurgrens voor huursubsidie (maandbedrag)</t>
  </si>
  <si>
    <r>
      <t>Huurtoeslag</t>
    </r>
    <r>
      <rPr>
        <sz val="11"/>
        <rFont val="Calibri"/>
        <family val="2"/>
        <scheme val="minor"/>
      </rPr>
      <t xml:space="preserve"> per maand </t>
    </r>
    <r>
      <rPr>
        <b/>
        <sz val="11"/>
        <color rgb="FFFF0000"/>
        <rFont val="Calibri"/>
        <family val="2"/>
        <scheme val="minor"/>
      </rPr>
      <t>(BEREKEN DEZE ONLINE)</t>
    </r>
  </si>
  <si>
    <t>Alimentatieplichtige heeft de AOW leeftijd bereikt?</t>
  </si>
  <si>
    <t>Ja/Nee wordt bepaald o.b.v. de ingevulde pensioendatum &amp; ingevulde berekeningsdatum (cel C13)</t>
  </si>
  <si>
    <r>
      <t xml:space="preserve">  </t>
    </r>
    <r>
      <rPr>
        <b/>
        <u/>
        <sz val="11"/>
        <color theme="1"/>
        <rFont val="Calibri"/>
        <family val="2"/>
        <scheme val="minor"/>
      </rPr>
      <t>LET OP:</t>
    </r>
    <r>
      <rPr>
        <sz val="11"/>
        <color theme="1"/>
        <rFont val="Calibri"/>
        <family val="2"/>
        <scheme val="minor"/>
      </rPr>
      <t xml:space="preserve"> Betreft het een </t>
    </r>
    <r>
      <rPr>
        <b/>
        <u/>
        <sz val="11"/>
        <color theme="1"/>
        <rFont val="Calibri"/>
        <family val="2"/>
        <scheme val="minor"/>
      </rPr>
      <t>aflossingsvrije</t>
    </r>
    <r>
      <rPr>
        <sz val="11"/>
        <color theme="1"/>
        <rFont val="Calibri"/>
        <family val="2"/>
        <scheme val="minor"/>
      </rPr>
      <t xml:space="preserve"> hypotheek die na </t>
    </r>
    <r>
      <rPr>
        <b/>
        <u/>
        <sz val="11"/>
        <color theme="1"/>
        <rFont val="Calibri"/>
        <family val="2"/>
        <scheme val="minor"/>
      </rPr>
      <t>01-01-2013</t>
    </r>
    <r>
      <rPr>
        <sz val="11"/>
        <color theme="1"/>
        <rFont val="Calibri"/>
        <family val="2"/>
        <scheme val="minor"/>
      </rPr>
      <t xml:space="preserve"> is afgesloten? </t>
    </r>
  </si>
  <si>
    <r>
      <t xml:space="preserve">Bij een aflossingsvrije hypotheek die is afgesloten na </t>
    </r>
    <r>
      <rPr>
        <b/>
        <u/>
        <sz val="11"/>
        <rFont val="Calibri"/>
        <family val="2"/>
        <scheme val="minor"/>
      </rPr>
      <t>01-01-2013</t>
    </r>
    <r>
      <rPr>
        <sz val="11"/>
        <rFont val="Calibri"/>
        <family val="2"/>
        <scheme val="minor"/>
      </rPr>
      <t xml:space="preserve"> is er geen recht meer op renteaftrek (dus is er ook geen Netto fiscaal voordeel uit post 85)</t>
    </r>
  </si>
  <si>
    <t>Zie hiervoor de site van de belastingdienst onder "Voorwaarden aftrek zorgkosten"</t>
  </si>
  <si>
    <r>
      <t xml:space="preserve">Overige zelf betaalde, niet vergoede zorgkosten </t>
    </r>
    <r>
      <rPr>
        <b/>
        <u/>
        <sz val="11"/>
        <color theme="1"/>
        <rFont val="Calibri"/>
        <family val="2"/>
        <scheme val="minor"/>
      </rPr>
      <t>per maand</t>
    </r>
  </si>
  <si>
    <r>
      <t xml:space="preserve">Vrijwillig Eigen Risico (indien gerealiseerd) </t>
    </r>
    <r>
      <rPr>
        <b/>
        <u/>
        <sz val="11"/>
        <color theme="1"/>
        <rFont val="Calibri"/>
        <family val="2"/>
        <scheme val="minor"/>
      </rPr>
      <t>per maand</t>
    </r>
  </si>
  <si>
    <r>
      <t xml:space="preserve">Nominale premie ZVW </t>
    </r>
    <r>
      <rPr>
        <b/>
        <u/>
        <sz val="11"/>
        <color theme="1"/>
        <rFont val="Calibri"/>
        <family val="2"/>
        <scheme val="minor"/>
      </rPr>
      <t>per maand</t>
    </r>
  </si>
  <si>
    <r>
      <t xml:space="preserve">Premie aanvullende ZKV </t>
    </r>
    <r>
      <rPr>
        <b/>
        <u/>
        <sz val="11"/>
        <color theme="1"/>
        <rFont val="Calibri"/>
        <family val="2"/>
        <scheme val="minor"/>
      </rPr>
      <t>per maand</t>
    </r>
  </si>
  <si>
    <t>Situatie 5</t>
  </si>
  <si>
    <r>
      <rPr>
        <b/>
        <u/>
        <sz val="11"/>
        <color theme="1"/>
        <rFont val="Calibri"/>
        <family val="2"/>
        <scheme val="minor"/>
      </rPr>
      <t xml:space="preserve">LET OP: </t>
    </r>
    <r>
      <rPr>
        <sz val="11"/>
        <color theme="1"/>
        <rFont val="Calibri"/>
        <family val="2"/>
        <scheme val="minor"/>
      </rPr>
      <t xml:space="preserve">Is er </t>
    </r>
    <r>
      <rPr>
        <b/>
        <u/>
        <sz val="11"/>
        <color theme="1"/>
        <rFont val="Calibri"/>
        <family val="2"/>
        <scheme val="minor"/>
      </rPr>
      <t>bij de scheiding</t>
    </r>
    <r>
      <rPr>
        <sz val="11"/>
        <color theme="1"/>
        <rFont val="Calibri"/>
        <family val="2"/>
        <scheme val="minor"/>
      </rPr>
      <t xml:space="preserve"> sprake van een </t>
    </r>
    <r>
      <rPr>
        <b/>
        <u/>
        <sz val="11"/>
        <color theme="1"/>
        <rFont val="Calibri"/>
        <family val="2"/>
        <scheme val="minor"/>
      </rPr>
      <t>Onverdeelde Eigen Woning</t>
    </r>
    <r>
      <rPr>
        <sz val="11"/>
        <color theme="1"/>
        <rFont val="Calibri"/>
        <family val="2"/>
        <scheme val="minor"/>
      </rPr>
      <t xml:space="preserve"> (OEW) en wil je hiervoor de rekenmodule hiernaast (rechts) gebruiken? 
1) Vul dan in cel D162 eerst "</t>
    </r>
    <r>
      <rPr>
        <i/>
        <sz val="11"/>
        <color theme="1"/>
        <rFont val="Calibri"/>
        <family val="2"/>
        <scheme val="minor"/>
      </rPr>
      <t>Ja</t>
    </r>
    <r>
      <rPr>
        <sz val="11"/>
        <color theme="1"/>
        <rFont val="Calibri"/>
        <family val="2"/>
        <scheme val="minor"/>
      </rPr>
      <t>" in
2) Vul vervolgens in de</t>
    </r>
    <r>
      <rPr>
        <sz val="11"/>
        <color rgb="FF00B0F0"/>
        <rFont val="Calibri"/>
        <family val="2"/>
        <scheme val="minor"/>
      </rPr>
      <t xml:space="preserve"> </t>
    </r>
    <r>
      <rPr>
        <b/>
        <sz val="11"/>
        <color rgb="FF00B0F0"/>
        <rFont val="Calibri"/>
        <family val="2"/>
        <scheme val="minor"/>
      </rPr>
      <t>blauwe velden</t>
    </r>
    <r>
      <rPr>
        <sz val="11"/>
        <color theme="1"/>
        <rFont val="Calibri"/>
        <family val="2"/>
        <scheme val="minor"/>
      </rPr>
      <t xml:space="preserve"> onder "Onverdeelde Eigen Woning (OEW)" de gegevens in.
</t>
    </r>
    <r>
      <rPr>
        <sz val="5"/>
        <color theme="1"/>
        <rFont val="Calibri"/>
        <family val="2"/>
        <scheme val="minor"/>
      </rPr>
      <t xml:space="preserve">
</t>
    </r>
    <r>
      <rPr>
        <sz val="11"/>
        <color theme="1"/>
        <rFont val="Calibri"/>
        <family val="2"/>
        <scheme val="minor"/>
      </rPr>
      <t>Hierop zullen de bedragen uit de cellen P179 t/m Q191 worden gebruikt i.p.v. de posten 82 (E169/E171) en 83 (G169/E169)</t>
    </r>
  </si>
  <si>
    <t>In bijstandsnorm begrepen nominaal deel premie ZVW</t>
  </si>
  <si>
    <t xml:space="preserve">Post 51a: Netto uitgaven pensioenvoorziening (vrijgesteld in box III) </t>
  </si>
  <si>
    <t>Belaste gratificaties, tantièmes, eindejaarsuitkering</t>
  </si>
  <si>
    <t>Afwijken winst uit onderneming</t>
  </si>
  <si>
    <t>Fiscale oudedagsreserve</t>
  </si>
  <si>
    <t>O.a. ontvangen alimentatie, termijnen lijfrente, pensioensverrekenings-/vereveningsuitkeringen, uitkeringen uit vrijwillige AOW/ANW verzekering</t>
  </si>
  <si>
    <r>
      <t xml:space="preserve">VEW: De </t>
    </r>
    <r>
      <rPr>
        <b/>
        <u/>
        <sz val="11"/>
        <color theme="1"/>
        <rFont val="Calibri"/>
        <family val="2"/>
        <scheme val="minor"/>
      </rPr>
      <t>na scheiding</t>
    </r>
    <r>
      <rPr>
        <sz val="11"/>
        <color theme="1"/>
        <rFont val="Calibri"/>
        <family val="2"/>
        <scheme val="minor"/>
      </rPr>
      <t xml:space="preserve"> door de ex-partner betaalde hypotheeklasten als partneralimentatie  (zie "Basisgegevens" onder 138)</t>
    </r>
  </si>
  <si>
    <t>Geldt alleen bij een Overdeelde Eigen Woning (OEW)</t>
  </si>
  <si>
    <t>Belastbare inkomsten uit eigen woning:</t>
  </si>
  <si>
    <t>Reguliere voordelen (met name dividend)</t>
  </si>
  <si>
    <r>
      <t xml:space="preserve">Persoonsgebonden aftrek </t>
    </r>
    <r>
      <rPr>
        <i/>
        <sz val="11"/>
        <color rgb="FFFF0000"/>
        <rFont val="Calibri"/>
        <family val="2"/>
        <scheme val="minor"/>
      </rPr>
      <t>(het niet in BOX I of III benutte deel)</t>
    </r>
  </si>
  <si>
    <t>Vul in bij partner 1 de alimentatieplichtige (AP) in en bij partner 2 de alimentatiegerechtigde (AG)</t>
  </si>
  <si>
    <r>
      <t xml:space="preserve">Alleen bij een </t>
    </r>
    <r>
      <rPr>
        <b/>
        <sz val="11"/>
        <color rgb="FFFF0000"/>
        <rFont val="Calibri"/>
        <family val="2"/>
        <scheme val="minor"/>
      </rPr>
      <t>herberekening</t>
    </r>
    <r>
      <rPr>
        <b/>
        <sz val="11"/>
        <rFont val="Calibri"/>
        <family val="2"/>
        <scheme val="minor"/>
      </rPr>
      <t>: G</t>
    </r>
    <r>
      <rPr>
        <sz val="11"/>
        <color theme="1"/>
        <rFont val="Calibri"/>
        <family val="2"/>
        <scheme val="minor"/>
      </rPr>
      <t>aat hier om het</t>
    </r>
    <r>
      <rPr>
        <b/>
        <u/>
        <sz val="11"/>
        <color theme="1"/>
        <rFont val="Calibri"/>
        <family val="2"/>
        <scheme val="minor"/>
      </rPr>
      <t xml:space="preserve"> jaar waarin de officiële scheiding</t>
    </r>
    <r>
      <rPr>
        <sz val="11"/>
        <color theme="1"/>
        <rFont val="Calibri"/>
        <family val="2"/>
        <scheme val="minor"/>
      </rPr>
      <t xml:space="preserve"> is uitgesproken invullen</t>
    </r>
  </si>
  <si>
    <t>Loon volgens jaaropgave werkgever 1 (= dienstbetrekking)</t>
  </si>
  <si>
    <t>Loon volgens jaaropgave werkgever 2 (= dienstbetrekking)</t>
  </si>
  <si>
    <t>U krijgt de alleenstaande ouderenkorting als u:</t>
  </si>
  <si>
    <t>Dit is het totaal van dienstbetrekking 1 en 2 opgeteld</t>
  </si>
  <si>
    <t>(= excl. alimentatie eerdere partner)</t>
  </si>
  <si>
    <t>Vakantietoeslag (wordt jaarlijks vastgesteld)</t>
  </si>
  <si>
    <t>(= t.b.v. evt. ZKV bijdrage)</t>
  </si>
  <si>
    <r>
      <t xml:space="preserve">Eigen Woning Forfait aandeel in  </t>
    </r>
    <r>
      <rPr>
        <b/>
        <u/>
        <sz val="11"/>
        <color theme="1"/>
        <rFont val="Calibri"/>
        <family val="2"/>
        <scheme val="minor"/>
      </rPr>
      <t>box 3</t>
    </r>
  </si>
  <si>
    <t>Beleggingen/andere bezittingen incl. OEW</t>
  </si>
  <si>
    <t>Minimale forfaitaire woonlast</t>
  </si>
  <si>
    <t>Forfaitair bedrag</t>
  </si>
  <si>
    <t>Deze wordt automatisch invult als er sprake is van een eigen woning !</t>
  </si>
  <si>
    <t>Zie de basispremie op de polis van de ziektekostenverzekering</t>
  </si>
  <si>
    <t>Zie de aanvullende premie(s) op de polis van de ziektekostenverzekering</t>
  </si>
  <si>
    <t>Gezamenlijk arbeidsinkomen t.b.v. KGB berekening:</t>
  </si>
  <si>
    <t>Omrekening Bruto naar Netto alimentatie voor:</t>
  </si>
  <si>
    <t>Tabblad "Basisgegevens"</t>
  </si>
  <si>
    <r>
      <t xml:space="preserve">- Bijtelling auto van de zaak.
- Inkomsten volgens jaaropgave(s) (60) &amp; correctie evt. invloed auto van de zaak
- Inkomsten uit Arbeid (41, 44, 46 - 48). (Bij 41 kan het loon van 1 of 2 werkgevers worden ingevuld)
- Bruto arbeidsinkomen bouw (bij vakantiebonnen) (45).
- (Extra) betaalde premies / Inkomensvoorziening (49 - 58).
- Bruto AOW-uitkering (42).
- Bruto uitkering sociale verzekeringswetten (43)
- Bruto Pensioen uitkering (50).
- Ondernemersaftrekposten (71 - 73).
- Eigen woningbezit (82 - 84) (evt. 1x woning AP en 1x AG apart)  </t>
    </r>
    <r>
      <rPr>
        <sz val="11"/>
        <color rgb="FFFF0000"/>
        <rFont val="Calibri"/>
        <family val="2"/>
        <scheme val="minor"/>
      </rPr>
      <t>(telt m.i.v. 01-01-2023 niet meer mee voor bepalen partneralimentatie)</t>
    </r>
    <r>
      <rPr>
        <sz val="11"/>
        <color theme="1"/>
        <rFont val="Calibri"/>
        <family val="2"/>
        <scheme val="minor"/>
      </rPr>
      <t xml:space="preserve">.
  incl. optioneel de: Onverdeeld Eigen Woning-module
- </t>
    </r>
    <r>
      <rPr>
        <b/>
        <sz val="11"/>
        <color theme="1"/>
        <rFont val="Calibri"/>
        <family val="2"/>
        <scheme val="minor"/>
      </rPr>
      <t>Na scheiding</t>
    </r>
    <r>
      <rPr>
        <sz val="11"/>
        <color theme="1"/>
        <rFont val="Calibri"/>
        <family val="2"/>
        <scheme val="minor"/>
      </rPr>
      <t xml:space="preserve"> betalen van rente en/of aflossing aan de ex-partner
- Bijstandsuitkering (119a)
- Forfaitaire bedragen (123).
- Huurkosten en Huurtoeslag        </t>
    </r>
    <r>
      <rPr>
        <sz val="8"/>
        <color theme="1"/>
        <rFont val="Calibri"/>
        <family val="2"/>
        <scheme val="minor"/>
      </rPr>
      <t xml:space="preserve"> </t>
    </r>
    <r>
      <rPr>
        <sz val="11"/>
        <color rgb="FFFF0000"/>
        <rFont val="Calibri"/>
        <family val="2"/>
        <scheme val="minor"/>
      </rPr>
      <t>(telt m.i.v. 01-01-2023 niet meer mee voor bepalen partneralimentatie)</t>
    </r>
    <r>
      <rPr>
        <sz val="11"/>
        <color theme="1"/>
        <rFont val="Calibri"/>
        <family val="2"/>
        <scheme val="minor"/>
      </rPr>
      <t xml:space="preserve">.
- Ziektekosten(verzekering) (124)  </t>
    </r>
    <r>
      <rPr>
        <sz val="11"/>
        <color rgb="FFFF0000"/>
        <rFont val="Calibri"/>
        <family val="2"/>
        <scheme val="minor"/>
      </rPr>
      <t>(telt m.i.v. 01-01-2023 niet meer mee voor bepalen partneralimentatie)</t>
    </r>
    <r>
      <rPr>
        <sz val="11"/>
        <color theme="1"/>
        <rFont val="Calibri"/>
        <family val="2"/>
        <scheme val="minor"/>
      </rPr>
      <t>.
- Kindgebonden budget (voor en/of na de scheiding)
- Gegevens kinderen (Naam, geboortedatum, verzorgende ouder, behoefte/studie(kosten) etc..</t>
    </r>
  </si>
  <si>
    <t>- Alleenstaande ouderenkorting (115) (Ja/Nee) (regel 57)
- Inkomensafhankelijke Combinatiekorting (Werkende / AOW-ers) (115) (Ja/Nee) (regel 73)
- Onverdeelde Eigen Woning (OEW) vanaf regel 165 (indien geactiveerd met Ja in cel D164)</t>
  </si>
  <si>
    <r>
      <t xml:space="preserve">Loop, na het invullen van de </t>
    </r>
    <r>
      <rPr>
        <b/>
        <u/>
        <sz val="11"/>
        <color rgb="FF00B0F0"/>
        <rFont val="Calibri"/>
        <family val="2"/>
        <scheme val="minor"/>
      </rPr>
      <t>BLAUWE VELDEN</t>
    </r>
    <r>
      <rPr>
        <sz val="11"/>
        <color theme="1"/>
        <rFont val="Calibri"/>
        <family val="2"/>
        <scheme val="minor"/>
      </rPr>
      <t xml:space="preserve"> in het tabblad "</t>
    </r>
    <r>
      <rPr>
        <i/>
        <sz val="11"/>
        <color theme="1"/>
        <rFont val="Calibri"/>
        <family val="2"/>
        <scheme val="minor"/>
      </rPr>
      <t>Basisgegevens</t>
    </r>
    <r>
      <rPr>
        <sz val="11"/>
        <color theme="1"/>
        <rFont val="Calibri"/>
        <family val="2"/>
        <scheme val="minor"/>
      </rPr>
      <t xml:space="preserve">" langs de - minder vaak voorkomende </t>
    </r>
    <r>
      <rPr>
        <b/>
        <u/>
        <sz val="11"/>
        <color rgb="FF00B0F0"/>
        <rFont val="Calibri"/>
        <family val="2"/>
        <scheme val="minor"/>
      </rPr>
      <t>LICHT BLAUWE</t>
    </r>
    <r>
      <rPr>
        <sz val="11"/>
        <color theme="1"/>
        <rFont val="Calibri"/>
        <family val="2"/>
        <scheme val="minor"/>
      </rPr>
      <t xml:space="preserve"> velden in het tabblad "</t>
    </r>
    <r>
      <rPr>
        <i/>
        <sz val="11"/>
        <color theme="1"/>
        <rFont val="Calibri"/>
        <family val="2"/>
        <scheme val="minor"/>
      </rPr>
      <t>Alimentatie 20xx-xx</t>
    </r>
    <r>
      <rPr>
        <sz val="11"/>
        <color theme="1"/>
        <rFont val="Calibri"/>
        <family val="2"/>
        <scheme val="minor"/>
      </rPr>
      <t>"en vul in de van toepassing zijnde velden de juiste gegevens in (soms is er vooraf rekenwerk nodig)</t>
    </r>
  </si>
  <si>
    <r>
      <t xml:space="preserve">Voor zowel berekeningen die al </t>
    </r>
    <r>
      <rPr>
        <b/>
        <u/>
        <sz val="11"/>
        <color theme="1"/>
        <rFont val="Calibri"/>
        <family val="2"/>
        <scheme val="minor"/>
      </rPr>
      <t>voor 01-01-2023</t>
    </r>
    <r>
      <rPr>
        <sz val="11"/>
        <color theme="1"/>
        <rFont val="Calibri"/>
        <family val="2"/>
        <scheme val="minor"/>
      </rPr>
      <t xml:space="preserve"> in behandeling waren als woonlasten aantoonbaar hoger zijn maar wel reëel </t>
    </r>
    <r>
      <rPr>
        <b/>
        <u/>
        <sz val="11"/>
        <color theme="1"/>
        <rFont val="Calibri"/>
        <family val="2"/>
        <scheme val="minor"/>
      </rPr>
      <t>mag (</t>
    </r>
    <r>
      <rPr>
        <sz val="11"/>
        <color theme="1"/>
        <rFont val="Calibri"/>
        <family val="2"/>
        <scheme val="minor"/>
      </rPr>
      <t xml:space="preserve">nog) worden gerekend </t>
    </r>
    <r>
      <rPr>
        <b/>
        <u/>
        <sz val="11"/>
        <color theme="1"/>
        <rFont val="Calibri"/>
        <family val="2"/>
        <scheme val="minor"/>
      </rPr>
      <t>met de oude situatie</t>
    </r>
    <r>
      <rPr>
        <sz val="11"/>
        <color theme="1"/>
        <rFont val="Calibri"/>
        <family val="2"/>
        <scheme val="minor"/>
      </rPr>
      <t xml:space="preserve"> waarin de werkelijke woonlasten/ziektekosten (post 124 t/m 133) bepalend waren </t>
    </r>
  </si>
  <si>
    <r>
      <t xml:space="preserve">Hiervoor is het tabblad "Woonlasten_afwijkend" toegevoegd, deze bevat de post 124 t/m 133 nog wel! 
- De benodigde woon-/ziektekosten kunnen in het tabblad "Basisgegevens" worden ingevuld. 
- De specifieke bedragen t.a.v. de posten 125 t/m 133 moeten echter in dit tabblad worden ingevuld. 
Dit kan weer in de bekende </t>
    </r>
    <r>
      <rPr>
        <b/>
        <sz val="11"/>
        <color rgb="FF00B0F0"/>
        <rFont val="Calibri"/>
        <family val="2"/>
        <scheme val="minor"/>
      </rPr>
      <t>LICHT BLAUWE VELDEN</t>
    </r>
    <r>
      <rPr>
        <sz val="11"/>
        <rFont val="Calibri"/>
        <family val="2"/>
        <scheme val="minor"/>
      </rPr>
      <t xml:space="preserve"> (zie vanaf regel 243)</t>
    </r>
  </si>
  <si>
    <r>
      <t xml:space="preserve">Per </t>
    </r>
    <r>
      <rPr>
        <b/>
        <u/>
        <sz val="11"/>
        <rFont val="Calibri"/>
        <family val="2"/>
        <scheme val="minor"/>
      </rPr>
      <t>01-01-2023</t>
    </r>
    <r>
      <rPr>
        <sz val="11"/>
        <rFont val="Calibri"/>
        <family val="2"/>
        <scheme val="minor"/>
      </rPr>
      <t xml:space="preserve"> geldt er een andere berekeningswijze voor de JUS-vergelijking. Er wordt nu gekeken of de berekende alimentatie wel redelijk is t.o.v. het gemiddelde Netto Besteedbaar Inkomens (post 120). Hierin wordt het eigen aandeel in de kosten van de kinderen minus een eventueel KGB eerst verrekend, waarop de JUS-vergelijking wordt gemaakt. </t>
    </r>
  </si>
  <si>
    <r>
      <t xml:space="preserve">Is alles helder en oké? Dan wel de dringende aanbeveling om - zeker t.a.v. rechtbankstukken - een </t>
    </r>
    <r>
      <rPr>
        <b/>
        <u/>
        <sz val="14"/>
        <color theme="1"/>
        <rFont val="Calibri"/>
        <family val="2"/>
        <scheme val="minor"/>
      </rPr>
      <t>officiële berekening</t>
    </r>
    <r>
      <rPr>
        <sz val="14"/>
        <color theme="1"/>
        <rFont val="Calibri"/>
        <family val="2"/>
        <scheme val="minor"/>
      </rPr>
      <t xml:space="preserve"> te (laten) maken. 
De mogelijkheden hiervoor tegen </t>
    </r>
    <r>
      <rPr>
        <b/>
        <u/>
        <sz val="14"/>
        <color theme="1"/>
        <rFont val="Calibri"/>
        <family val="2"/>
        <scheme val="minor"/>
      </rPr>
      <t>relatief geringe kosten</t>
    </r>
    <r>
      <rPr>
        <sz val="14"/>
        <color theme="1"/>
        <rFont val="Calibri"/>
        <family val="2"/>
        <scheme val="minor"/>
      </rPr>
      <t xml:space="preserve"> (onder de </t>
    </r>
    <r>
      <rPr>
        <sz val="14"/>
        <color theme="1"/>
        <rFont val="Calibri"/>
        <family val="2"/>
      </rPr>
      <t xml:space="preserve">€ 100,-) </t>
    </r>
    <r>
      <rPr>
        <sz val="14"/>
        <color theme="1"/>
        <rFont val="Calibri"/>
        <family val="2"/>
        <scheme val="minor"/>
      </rPr>
      <t xml:space="preserve">vind je op: </t>
    </r>
    <r>
      <rPr>
        <sz val="14"/>
        <color rgb="FF0070C0"/>
        <rFont val="Calibri"/>
        <family val="2"/>
        <scheme val="minor"/>
      </rPr>
      <t>https://www.levennascheiding.nl</t>
    </r>
    <r>
      <rPr>
        <sz val="14"/>
        <color theme="1"/>
        <rFont val="Calibri"/>
        <family val="2"/>
        <scheme val="minor"/>
      </rPr>
      <t xml:space="preserve">  </t>
    </r>
  </si>
  <si>
    <r>
      <rPr>
        <b/>
        <sz val="11"/>
        <rFont val="Calibri"/>
        <family val="2"/>
        <scheme val="minor"/>
      </rPr>
      <t>(Post 99 telt NIET mee voor het drempelinkomen !!!)</t>
    </r>
    <r>
      <rPr>
        <sz val="11"/>
        <rFont val="Calibri"/>
        <family val="2"/>
        <scheme val="minor"/>
      </rPr>
      <t xml:space="preserve">
Als de inkomsten in box I en box III te laag zijn voor het verrekenen van een persoonsgebonden aftrek, kan de aftrek hier verrekend worden. Dit kan nooit leiden tot een negatief bedrag, in dat geval de rest doorschuiven naar het volgende jaar.</t>
    </r>
  </si>
  <si>
    <r>
      <rPr>
        <b/>
        <sz val="11"/>
        <rFont val="Calibri"/>
        <family val="2"/>
        <scheme val="minor"/>
      </rPr>
      <t>(Post 110 telt NIET mee voor het drempelinkomen !!!)</t>
    </r>
    <r>
      <rPr>
        <sz val="11"/>
        <rFont val="Calibri"/>
        <family val="2"/>
        <scheme val="minor"/>
      </rPr>
      <t xml:space="preserve">
Als de persoonsgebonden aftrek in box 1 niet volledig verrekend kan worden kan de rest ervan in box III worden verrekend. Maar nooit verder dan tot 0. Een eventueel restbedrag kan nog in box 2 worden verrekend of anders pas in een volgend jaar.</t>
    </r>
  </si>
  <si>
    <t>42/57</t>
  </si>
  <si>
    <t>50/57</t>
  </si>
  <si>
    <t>Ink.afhankelijke bijdrage premie ZVW al betaald bij post 42 AOW</t>
  </si>
  <si>
    <t>Ink.afhankelijke bijdrage premie ZVW al betaald bij post 50 Pensioen</t>
  </si>
  <si>
    <t>Ink.afhankelijke bijdrage premie ZVW al betaald bij post 41 Looninkomsten</t>
  </si>
  <si>
    <t>Te ontvangen Basis (MBO) en
aanvullende beurs</t>
  </si>
  <si>
    <r>
      <t xml:space="preserve">Eigen </t>
    </r>
    <r>
      <rPr>
        <b/>
        <u/>
        <sz val="10.5"/>
        <color theme="1"/>
        <rFont val="Calibri"/>
        <family val="2"/>
        <scheme val="minor"/>
      </rPr>
      <t>structurele NETTO</t>
    </r>
    <r>
      <rPr>
        <b/>
        <sz val="10.5"/>
        <color theme="1"/>
        <rFont val="Calibri"/>
        <family val="2"/>
        <scheme val="minor"/>
      </rPr>
      <t xml:space="preserve"> inkomsten</t>
    </r>
  </si>
  <si>
    <t xml:space="preserve">  (zie het echtscheidingsconvenant)</t>
  </si>
  <si>
    <t>Behoefte van studerend kind vanaf 21 jaar toch meenemen in de kinderalimentatie berekening?</t>
  </si>
  <si>
    <t>De belastingvoordeel hypotheekrente dient in mindering te worden gebracht</t>
  </si>
  <si>
    <r>
      <t xml:space="preserve">Bij draagkrachttekort beoordelen of er bij onderhoudsplichtige sprake is van duurzaam en aanmerkelijk lagere werkelijke woonlasten dan de 30% forfait norm. </t>
    </r>
    <r>
      <rPr>
        <b/>
        <sz val="11"/>
        <color theme="1"/>
        <rFont val="Calibri"/>
        <family val="2"/>
        <scheme val="minor"/>
      </rPr>
      <t>Bij een nieuwe partner draagt deze 50% hiervan!</t>
    </r>
  </si>
  <si>
    <t>Werkelijke woonlasten toepassen?</t>
  </si>
  <si>
    <t>Bijdrage nieuwe partner aan de woonlasten?</t>
  </si>
  <si>
    <t xml:space="preserve">Andere (kleine) netto inkomsten. Hier ook een maar klein netto inkomen van een nieuwe partner die niet geheel in eigen onderhoud kan voorzien opnemen als dit mee moet worden genomen i.v.m. een tekort aan draagkracht </t>
  </si>
  <si>
    <t>- Premie opstalverzekering</t>
  </si>
  <si>
    <t>Bedrag wat (gemiddeld over een jaar) per maand betaald moet worden</t>
  </si>
  <si>
    <t>- Aanslag Onroerendzaakbelasting</t>
  </si>
  <si>
    <t>- Aanslag Polder- en Waterschapslasten</t>
  </si>
  <si>
    <t>Bijdrage van nieuwe partner in de woonlast (50% = norm)</t>
  </si>
  <si>
    <t>h-1</t>
  </si>
  <si>
    <t>h-2</t>
  </si>
  <si>
    <r>
      <rPr>
        <b/>
        <u/>
        <sz val="11"/>
        <color theme="1"/>
        <rFont val="Calibri"/>
        <family val="2"/>
        <scheme val="minor"/>
      </rPr>
      <t>Onderhoudsplichtig</t>
    </r>
    <r>
      <rPr>
        <sz val="11"/>
        <color theme="1"/>
        <rFont val="Calibri"/>
        <family val="2"/>
        <scheme val="minor"/>
      </rPr>
      <t xml:space="preserve"> &amp; nieuwe partner met eigen inkomen?</t>
    </r>
  </si>
  <si>
    <r>
      <rPr>
        <b/>
        <u/>
        <sz val="11"/>
        <color theme="1"/>
        <rFont val="Calibri"/>
        <family val="2"/>
        <scheme val="minor"/>
      </rPr>
      <t>Onderhoudsgerechtigd</t>
    </r>
    <r>
      <rPr>
        <sz val="11"/>
        <color theme="1"/>
        <rFont val="Calibri"/>
        <family val="2"/>
        <scheme val="minor"/>
      </rPr>
      <t xml:space="preserve"> &amp; ontvanger van kinderalimentatie?</t>
    </r>
  </si>
  <si>
    <t>m</t>
  </si>
  <si>
    <t>n</t>
  </si>
  <si>
    <r>
      <t xml:space="preserve">Bij een nieuw huwelijk/geregistreerd partnerschap wordt de nieuwe partner als stiefouder </t>
    </r>
    <r>
      <rPr>
        <b/>
        <sz val="11"/>
        <color theme="1"/>
        <rFont val="Calibri"/>
        <family val="2"/>
        <scheme val="minor"/>
      </rPr>
      <t>mede onderhoudsplichtig</t>
    </r>
    <r>
      <rPr>
        <sz val="11"/>
        <color theme="1"/>
        <rFont val="Calibri"/>
        <family val="2"/>
        <scheme val="minor"/>
      </rPr>
      <t xml:space="preserve"> voor jullie gezin (Art. 1:395a BW)</t>
    </r>
  </si>
  <si>
    <t>- Afvalstoffen en/of rioolheffing</t>
  </si>
  <si>
    <t>Bedrag wat (gemiddeld over een jaar) per maand wordt betaald</t>
  </si>
  <si>
    <t>- Onderhoudskosten koopwoning</t>
  </si>
  <si>
    <t>Bedrag wat (gemiddeld over een jaar/enkele jaren) per maand is/wordt betaald</t>
  </si>
  <si>
    <t>Bijstandsnorm t.b.v. (kinder)alimentatie berekening</t>
  </si>
  <si>
    <t>Bedrag wat per maand betaald moet worden</t>
  </si>
  <si>
    <r>
      <t>Ziektekosten(verzekering) (</t>
    </r>
    <r>
      <rPr>
        <b/>
        <u/>
        <sz val="11"/>
        <color rgb="FFFF0000"/>
        <rFont val="Calibri"/>
        <family val="2"/>
        <scheme val="minor"/>
      </rPr>
      <t>= vervallen, is per 01-01-2023 vervangen door forfaitaire bedragen</t>
    </r>
    <r>
      <rPr>
        <b/>
        <u/>
        <sz val="11"/>
        <color theme="1"/>
        <rFont val="Calibri"/>
        <family val="2"/>
        <scheme val="minor"/>
      </rPr>
      <t>)</t>
    </r>
  </si>
  <si>
    <r>
      <t>Te berekenen op:</t>
    </r>
    <r>
      <rPr>
        <sz val="11"/>
        <color theme="8"/>
        <rFont val="Calibri"/>
        <family val="2"/>
        <scheme val="minor"/>
      </rPr>
      <t xml:space="preserve"> </t>
    </r>
  </si>
  <si>
    <t>Onderhoudsplichtige</t>
  </si>
  <si>
    <t>Onderhoudgerechtigde</t>
  </si>
  <si>
    <t>Officiële jaar van scheiding (t.b.v. NBI Kinderalimentatie)</t>
  </si>
  <si>
    <t>Bij een nieuwe huwelijk of geregistreerd partnerschap van de ontvanger de kinderalimentatie is deze op grond van artikel 1:395a BW stiefouder en ook onderhoudsplichtig voor de kinderen die tot hun gezin behoren.</t>
  </si>
  <si>
    <t>Geschoond t.b.v. kinderalimentatie</t>
  </si>
  <si>
    <t>Aftrekbare kosten t.b.v. hypotheek/jaar</t>
  </si>
  <si>
    <t>Besteedbaar inkomen per jaar, na aftrek van de verschuldigde inkomensafhankelijke bijdrage ZVW en premie netto pensioensparen (57)</t>
  </si>
  <si>
    <r>
      <t>Werkelijke woonlasten volgens de specificatie zoals opgevoerd in het tabblad "</t>
    </r>
    <r>
      <rPr>
        <i/>
        <sz val="11"/>
        <color theme="1"/>
        <rFont val="Calibri"/>
        <family val="2"/>
        <scheme val="minor"/>
      </rPr>
      <t>Woonlasten_afwijkend</t>
    </r>
    <r>
      <rPr>
        <sz val="11"/>
        <color theme="1"/>
        <rFont val="Calibri"/>
        <family val="2"/>
        <scheme val="minor"/>
      </rPr>
      <t xml:space="preserve">" </t>
    </r>
    <r>
      <rPr>
        <i/>
        <sz val="11"/>
        <color rgb="FFFF0000"/>
        <rFont val="Calibri"/>
        <family val="2"/>
        <scheme val="minor"/>
      </rPr>
      <t>(deze bedragen moeten reëel en aantoonbaar zijn !!!)</t>
    </r>
  </si>
  <si>
    <t>Als de werkelijke woonlasten lager/hoger zijn dan het forfaitaire woonbudget moet/mag er onder voorwaarden voor de partner-/kinderalimentatie met dit bedrag worden gerekend i.p.v. met het woonbudget a 30% (zie 123)</t>
  </si>
  <si>
    <t>LET OP: De posten 124 t/m 133 zijn m.i.v. 01-01-2023 vervangen, net als bij de kinderbijslag wordt er nu primair uitgegaan van een forfaitaire woonlast (woonbudget genoemd)</t>
  </si>
  <si>
    <t>Andere onderhoudsverplichtingen</t>
  </si>
  <si>
    <t>OEW: Hypotheekaflossing betaald voor ex-partner als partneralimentatie</t>
  </si>
  <si>
    <t>Resteert voor partneralimentatie (exclusief belastingvoordeel)/maand:</t>
  </si>
  <si>
    <t>(nr. 102a t/m 102c) - (102d)</t>
  </si>
  <si>
    <t>Zie de exacte bedragen de tabel "Forfaitair Rendement" in het tabblad "Basisgegevens"</t>
  </si>
  <si>
    <t>Inkomsten waarover inkomensafhankelijke bijdrage ZVW is verschuldigd</t>
  </si>
  <si>
    <t>Inkomsten waarover inkomensafhankelijke bijdrage ZVW verschuldigd is / ZVW-premie:</t>
  </si>
  <si>
    <t>- OEW: Van ex-partner ontvangen woonvergoeding i.v.m. verlaten van de woning</t>
  </si>
  <si>
    <t>Hoort hier omdat een bijstandsuitkering een NETTO uitkering is.</t>
  </si>
  <si>
    <t>Noodzak. lasten</t>
  </si>
  <si>
    <t>Berekende NBI t.b.v.Kinderalimentatie is:</t>
  </si>
  <si>
    <t>Berekende NBI t.b.v.Draagkrachttabel is:</t>
  </si>
  <si>
    <t>Woonbudget</t>
  </si>
  <si>
    <t xml:space="preserve">    U bent co-ouder als u met uw ex-partner hebt afgesproken om de dagelijkse opvang en opvoeding van uw minderjarige kind ongeveer gelijk te verdelen. </t>
  </si>
  <si>
    <t xml:space="preserve">    Dit houdt in dat uw kind in totaal minimaal 156 dagen per kalenderjaar bij elke ouder is</t>
  </si>
  <si>
    <t>https://www.belastingdienst.nl/wps/wcm/connect/bldcontentnl/belastingdienst/prive/inkomstenbelasting/heffingskortingen_boxen_tarieven/heffingskortingen/inkomensafhankelijke_combikorting/inkomensafhankelijke-combinatiekorting</t>
  </si>
  <si>
    <t>Inkomensafhankelijke combinatiekorting (Werkende / AOW-ers)</t>
  </si>
  <si>
    <t>4) U hebt geen of minder dan 6 maanden een fiscale partner.</t>
  </si>
  <si>
    <r>
      <t xml:space="preserve">    Of u hebt langer dan 6 maanden een fiscale partner, én u hebt </t>
    </r>
    <r>
      <rPr>
        <b/>
        <u/>
        <sz val="10"/>
        <color rgb="FF000000"/>
        <rFont val="Verdana"/>
        <family val="2"/>
      </rPr>
      <t>een lager arbeidsinkomen</t>
    </r>
    <r>
      <rPr>
        <sz val="10"/>
        <color rgb="FF000000"/>
        <rFont val="Verdana"/>
        <family val="2"/>
      </rPr>
      <t xml:space="preserve"> dan uw fiscale partner.</t>
    </r>
  </si>
  <si>
    <t>https://www.belastingdienst.nl/wps/wcm/connect/bldcontentnl/belastingdienst/prive/inkomstenbelasting/heffingskortingen_boxen_tarieven/heffingskortingen/algemene_heffingskorting/algemene_heffingskorting</t>
  </si>
  <si>
    <t>https://www.belastingdienst.nl/wps/wcm/connect/bldcontentnl/belastingdienst/prive/inkomstenbelasting/heffingskortingen_boxen_tarieven/heffingskortingen/arbeidskorting/arbeidskorting</t>
  </si>
  <si>
    <t>https://www.belastingdienst.nl/wps/wcm/connect/bldcontentnl/belastingdienst/prive/relatie_familie_en_gezondheid/gezondheid/aftrek_zorgkosten/hoe_berekent_u_uw_aftrek/drempelbedrag_berekenen/</t>
  </si>
  <si>
    <t>https://www.belastingdienst.nl/wps/wcm/connect/nl/box-3/content/box-3-inkomen-op-voorlopige-aanslag-2024</t>
  </si>
  <si>
    <r>
      <t>Drempel studiekosten (</t>
    </r>
    <r>
      <rPr>
        <b/>
        <u/>
        <sz val="12"/>
        <color rgb="FFFF0000"/>
        <rFont val="Calibri"/>
        <family val="2"/>
        <scheme val="minor"/>
      </rPr>
      <t>vervallen</t>
    </r>
    <r>
      <rPr>
        <b/>
        <u/>
        <sz val="12"/>
        <color theme="1"/>
        <rFont val="Calibri"/>
        <family val="2"/>
        <scheme val="minor"/>
      </rPr>
      <t>)</t>
    </r>
  </si>
  <si>
    <t>https://www.belastingdienst.nl/wps/wcm/connect/bldcontentnl/belastingdienst/zakelijk/winst/inkomstenbelasting/inkomstenbelasting_voor_ondernemers/ondernemersaftrek/meewerkaftrek</t>
  </si>
  <si>
    <t>Tot € 67.000</t>
  </si>
  <si>
    <t>Vanaf € 67.000</t>
  </si>
  <si>
    <t>Maximale woonlasten t.a.v. kinderlimentatie %</t>
  </si>
  <si>
    <t>13e maand / 14e periode</t>
  </si>
  <si>
    <t>Speur- en Ontwikkelingsaftrek</t>
  </si>
  <si>
    <t>Waarde aan het eind van het jaar van:</t>
  </si>
  <si>
    <t>Grondslag sparen en beleggen:</t>
  </si>
  <si>
    <t>Inkomen voor aftrek inkomensheffing (59/60, 65, 76, 81, 98, 103)</t>
  </si>
  <si>
    <t>(nr.59/nr.60 + nr.65 + nr.76 + nr.81 + nr.98 + nr.103)</t>
  </si>
  <si>
    <t>Totaal Netto inkomsten (waaronder KGB):</t>
  </si>
  <si>
    <t>Vakantiegeld</t>
  </si>
  <si>
    <r>
      <t>Oppaskosten ten tijde van de relatie  (</t>
    </r>
    <r>
      <rPr>
        <b/>
        <sz val="11"/>
        <color rgb="FFFF0000"/>
        <rFont val="Calibri"/>
        <family val="2"/>
        <scheme val="minor"/>
      </rPr>
      <t>-</t>
    </r>
    <r>
      <rPr>
        <sz val="11"/>
        <color theme="1"/>
        <rFont val="Calibri"/>
        <family val="2"/>
        <scheme val="minor"/>
      </rPr>
      <t>)</t>
    </r>
  </si>
  <si>
    <t>Eventuele ziektekosten (extra en/of premie aanvullende verzekering) voor het kind / de kinderen moeten bij het bedrag van de tabel worden opgeteld.</t>
  </si>
  <si>
    <t>Forfait noodzakelijke lasten / (Gecorrigeerde) Bijstandsnorm</t>
  </si>
  <si>
    <t>Alimentatiegerechtigd</t>
  </si>
  <si>
    <t>Kies de juiste:</t>
  </si>
  <si>
    <t>HBO/WO Thuisw.</t>
  </si>
  <si>
    <t>HBO/WO Uitwonend</t>
  </si>
  <si>
    <t>Rentedragende lening</t>
  </si>
  <si>
    <r>
      <t xml:space="preserve">In de JUS-vergelijking moet de "Vrije ruimte" voor beide partners gelijk zijn. 
Vul bij een verschil in vrije ruimte (zie cel K33) het correctie bedrag in bij cel J31 (= </t>
    </r>
    <r>
      <rPr>
        <sz val="11"/>
        <color rgb="FF00B0F0"/>
        <rFont val="Calibri"/>
        <family val="2"/>
        <scheme val="minor"/>
      </rPr>
      <t>blauw</t>
    </r>
    <r>
      <rPr>
        <sz val="11"/>
        <color theme="1"/>
        <rFont val="Calibri"/>
        <family val="2"/>
        <scheme val="minor"/>
      </rPr>
      <t xml:space="preserve">). 
</t>
    </r>
    <r>
      <rPr>
        <sz val="5"/>
        <color theme="1"/>
        <rFont val="Calibri"/>
        <family val="2"/>
        <scheme val="minor"/>
      </rPr>
      <t xml:space="preserve">
</t>
    </r>
    <r>
      <rPr>
        <sz val="11"/>
        <color theme="1"/>
        <rFont val="Calibri"/>
        <family val="2"/>
        <scheme val="minor"/>
      </rPr>
      <t xml:space="preserve">Zodanig dat de vrije ruimte bij beiden gelijk wordt. 
</t>
    </r>
    <r>
      <rPr>
        <sz val="5"/>
        <color theme="1"/>
        <rFont val="Calibri"/>
        <family val="2"/>
        <scheme val="minor"/>
      </rPr>
      <t xml:space="preserve">
</t>
    </r>
    <r>
      <rPr>
        <sz val="11"/>
        <color theme="1"/>
        <rFont val="Calibri"/>
        <family val="2"/>
        <scheme val="minor"/>
      </rPr>
      <t>In Cel L33 wordt de schatting van het startbedrag (en daarna het aanvullende correctiebedrag).</t>
    </r>
  </si>
  <si>
    <t>Alimentatie Plichtig</t>
  </si>
  <si>
    <t>Alimentatie Gerechtigd</t>
  </si>
  <si>
    <t>2024 - 2e halfjaar</t>
  </si>
  <si>
    <t>Bijstandsnorm per 01-07-2024</t>
  </si>
  <si>
    <t>Studiefinanciering MBO (BOL), augustus t/m december '24</t>
  </si>
  <si>
    <t>Studiefinanciering HBO / WO, september t/m december '24</t>
  </si>
  <si>
    <t>Nieuwe tarieven bijstand/participatiewet en studiefinanciering verwerkt</t>
  </si>
  <si>
    <t>1.1</t>
  </si>
  <si>
    <t>Bij post 137 kon bij de kinderaliementatie t.g.v. afrondingsverschil een foute waarde worden berekend</t>
  </si>
  <si>
    <t>Fout bij toepassing draagkrachttabel tbv kinderalimentatie bij lage NBI gecorrigeerd</t>
  </si>
  <si>
    <t>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</si>
</sst>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6" formatCode="&quot;€&quot;\ #,##0;[Red]&quot;€&quot;\ \-#,##0"/>
    <numFmt numFmtId="42" formatCode="_ &quot;€&quot;\ * #,##0_ ;_ &quot;€&quot;\ * \-#,##0_ ;_ &quot;€&quot;\ * &quot;-&quot;_ ;_ @_ "/>
    <numFmt numFmtId="41" formatCode="_ * #,##0_ ;_ * \-#,##0_ ;_ * &quot;-&quot;_ ;_ @_ "/>
    <numFmt numFmtId="44" formatCode="_ &quot;€&quot;\ * #,##0.00_ ;_ &quot;€&quot;\ * \-#,##0.00_ ;_ &quot;€&quot;\ * &quot;-&quot;??_ ;_ @_ "/>
    <numFmt numFmtId="164" formatCode="&quot;€&quot;\ #,##0"/>
    <numFmt numFmtId="165" formatCode="_([$€-2]\ * #,##0_);_([$€-2]\ * \(#,##0\);_([$€-2]\ * &quot;-&quot;_);_(@_)"/>
    <numFmt numFmtId="166" formatCode="_ [$€-413]\ * #,##0.00_ ;_ [$€-413]\ * \-#,##0.00_ ;_ [$€-413]\ * &quot;-&quot;??_ ;_ @_ "/>
    <numFmt numFmtId="167" formatCode="[$-413]d/mmm/yy;@"/>
    <numFmt numFmtId="168" formatCode="0.000%"/>
    <numFmt numFmtId="169" formatCode="0_ ;\-0\ "/>
    <numFmt numFmtId="170" formatCode="dd/mmm/yyyy"/>
    <numFmt numFmtId="171" formatCode="0.000"/>
    <numFmt numFmtId="172" formatCode="#,##0_ ;[Red]\-#,##0\ "/>
    <numFmt numFmtId="173" formatCode="#,##0_ ;\-#,##0\ "/>
    <numFmt numFmtId="174" formatCode="0.0%"/>
    <numFmt numFmtId="175" formatCode="ddd\ dd/mmm/yy"/>
    <numFmt numFmtId="176" formatCode="00.00.00.000"/>
    <numFmt numFmtId="177" formatCode="_ &quot;€&quot;\ * #,##0.000_ ;_ &quot;€&quot;\ * \-#,##0.000_ ;_ &quot;€&quot;\ * &quot;-&quot;???_ ;_ @_ "/>
    <numFmt numFmtId="178" formatCode="[$-413]dd/mmm/yy;@"/>
    <numFmt numFmtId="179" formatCode="0.0000"/>
    <numFmt numFmtId="180" formatCode="0.0000%"/>
  </numFmts>
  <fonts count="92" x14ac:knownFonts="1">
    <font>
      <sz val="11"/>
      <color theme="1"/>
      <name val="Calibri"/>
      <family val="2"/>
      <scheme val="minor"/>
    </font>
    <font>
      <sz val="10"/>
      <name val="Arial"/>
      <family val="2"/>
    </font>
    <font>
      <b/>
      <u/>
      <sz val="11"/>
      <color theme="1"/>
      <name val="Calibri"/>
      <family val="2"/>
      <scheme val="minor"/>
    </font>
    <font>
      <b/>
      <sz val="11"/>
      <color theme="1"/>
      <name val="Calibri"/>
      <family val="2"/>
      <scheme val="minor"/>
    </font>
    <font>
      <sz val="9"/>
      <color indexed="81"/>
      <name val="Tahoma"/>
      <family val="2"/>
    </font>
    <font>
      <sz val="11"/>
      <color rgb="FFFF0000"/>
      <name val="Calibri"/>
      <family val="2"/>
      <scheme val="minor"/>
    </font>
    <font>
      <u/>
      <sz val="11"/>
      <color theme="1"/>
      <name val="Calibri"/>
      <family val="2"/>
      <scheme val="minor"/>
    </font>
    <font>
      <b/>
      <u/>
      <sz val="14"/>
      <color theme="1"/>
      <name val="Calibri"/>
      <family val="2"/>
      <scheme val="minor"/>
    </font>
    <font>
      <i/>
      <sz val="11"/>
      <color theme="1"/>
      <name val="Calibri"/>
      <family val="2"/>
      <scheme val="minor"/>
    </font>
    <font>
      <sz val="11"/>
      <name val="Calibri"/>
      <family val="2"/>
      <scheme val="minor"/>
    </font>
    <font>
      <b/>
      <sz val="11"/>
      <color rgb="FFFF0000"/>
      <name val="Calibri"/>
      <family val="2"/>
      <scheme val="minor"/>
    </font>
    <font>
      <b/>
      <sz val="11"/>
      <name val="Calibri"/>
      <family val="2"/>
      <scheme val="minor"/>
    </font>
    <font>
      <b/>
      <sz val="9"/>
      <color indexed="81"/>
      <name val="Tahoma"/>
      <family val="2"/>
    </font>
    <font>
      <u/>
      <sz val="11"/>
      <color theme="10"/>
      <name val="Calibri"/>
      <family val="2"/>
      <scheme val="minor"/>
    </font>
    <font>
      <sz val="11"/>
      <color rgb="FF000000"/>
      <name val="Calibri"/>
      <family val="2"/>
      <scheme val="minor"/>
    </font>
    <font>
      <b/>
      <sz val="11"/>
      <color rgb="FF000000"/>
      <name val="Calibri"/>
      <family val="2"/>
      <scheme val="minor"/>
    </font>
    <font>
      <b/>
      <u/>
      <sz val="11"/>
      <color rgb="FFFF0000"/>
      <name val="Calibri"/>
      <family val="2"/>
      <scheme val="minor"/>
    </font>
    <font>
      <b/>
      <sz val="16"/>
      <color theme="1"/>
      <name val="Calibri"/>
      <family val="2"/>
      <scheme val="minor"/>
    </font>
    <font>
      <b/>
      <u/>
      <sz val="11"/>
      <color rgb="FF000000"/>
      <name val="Calibri"/>
      <family val="2"/>
      <scheme val="minor"/>
    </font>
    <font>
      <b/>
      <u/>
      <sz val="11"/>
      <name val="Calibri"/>
      <family val="2"/>
      <scheme val="minor"/>
    </font>
    <font>
      <sz val="10"/>
      <color rgb="FF000000"/>
      <name val="Verdana"/>
      <family val="2"/>
    </font>
    <font>
      <u/>
      <sz val="10"/>
      <color rgb="FF000000"/>
      <name val="Verdana"/>
      <family val="2"/>
    </font>
    <font>
      <b/>
      <u/>
      <sz val="10"/>
      <color rgb="FF000000"/>
      <name val="Verdana"/>
      <family val="2"/>
    </font>
    <font>
      <b/>
      <u/>
      <sz val="14"/>
      <name val="Calibri"/>
      <family val="2"/>
      <scheme val="minor"/>
    </font>
    <font>
      <i/>
      <sz val="11"/>
      <name val="Calibri"/>
      <family val="2"/>
      <scheme val="minor"/>
    </font>
    <font>
      <u/>
      <sz val="11"/>
      <name val="Calibri"/>
      <family val="2"/>
      <scheme val="minor"/>
    </font>
    <font>
      <b/>
      <i/>
      <sz val="11"/>
      <name val="Calibri"/>
      <family val="2"/>
      <scheme val="minor"/>
    </font>
    <font>
      <b/>
      <u/>
      <sz val="12"/>
      <color theme="1"/>
      <name val="Calibri"/>
      <family val="2"/>
      <scheme val="minor"/>
    </font>
    <font>
      <i/>
      <sz val="11"/>
      <color rgb="FFFF0000"/>
      <name val="Calibri"/>
      <family val="2"/>
      <scheme val="minor"/>
    </font>
    <font>
      <b/>
      <sz val="14"/>
      <color theme="1"/>
      <name val="Calibri"/>
      <family val="2"/>
      <scheme val="minor"/>
    </font>
    <font>
      <b/>
      <sz val="14"/>
      <color theme="0"/>
      <name val="Calibri"/>
      <family val="2"/>
      <scheme val="minor"/>
    </font>
    <font>
      <sz val="14"/>
      <color theme="1"/>
      <name val="Calibri"/>
      <family val="2"/>
      <scheme val="minor"/>
    </font>
    <font>
      <b/>
      <u val="singleAccounting"/>
      <sz val="11"/>
      <color theme="1"/>
      <name val="Calibri"/>
      <family val="2"/>
      <scheme val="minor"/>
    </font>
    <font>
      <b/>
      <sz val="11"/>
      <color theme="0"/>
      <name val="Calibri"/>
      <family val="2"/>
      <scheme val="minor"/>
    </font>
    <font>
      <b/>
      <i/>
      <sz val="11"/>
      <color theme="1"/>
      <name val="Calibri"/>
      <family val="2"/>
      <scheme val="minor"/>
    </font>
    <font>
      <sz val="16"/>
      <name val="Calibri"/>
      <family val="2"/>
      <scheme val="minor"/>
    </font>
    <font>
      <b/>
      <sz val="16"/>
      <name val="Calibri"/>
      <family val="2"/>
      <scheme val="minor"/>
    </font>
    <font>
      <b/>
      <u/>
      <sz val="16"/>
      <color theme="1"/>
      <name val="Calibri"/>
      <family val="2"/>
      <scheme val="minor"/>
    </font>
    <font>
      <b/>
      <u/>
      <sz val="12"/>
      <name val="Calibri"/>
      <family val="2"/>
      <scheme val="minor"/>
    </font>
    <font>
      <sz val="12"/>
      <color theme="1"/>
      <name val="Calibri"/>
      <family val="2"/>
      <scheme val="minor"/>
    </font>
    <font>
      <b/>
      <sz val="14"/>
      <name val="Calibri"/>
      <family val="2"/>
      <scheme val="minor"/>
    </font>
    <font>
      <b/>
      <sz val="12"/>
      <color theme="1"/>
      <name val="Calibri"/>
      <family val="2"/>
      <scheme val="minor"/>
    </font>
    <font>
      <b/>
      <u/>
      <sz val="16"/>
      <name val="Calibri"/>
      <family val="2"/>
      <scheme val="minor"/>
    </font>
    <font>
      <b/>
      <sz val="12"/>
      <name val="Calibri"/>
      <family val="2"/>
      <scheme val="minor"/>
    </font>
    <font>
      <sz val="11"/>
      <color theme="0"/>
      <name val="Calibri"/>
      <family val="2"/>
      <scheme val="minor"/>
    </font>
    <font>
      <b/>
      <u/>
      <sz val="18"/>
      <color theme="1"/>
      <name val="Calibri"/>
      <family val="2"/>
      <scheme val="minor"/>
    </font>
    <font>
      <u val="singleAccounting"/>
      <sz val="11"/>
      <color theme="1"/>
      <name val="Calibri"/>
      <family val="2"/>
      <scheme val="minor"/>
    </font>
    <font>
      <sz val="11"/>
      <color theme="1"/>
      <name val="Calibri"/>
      <family val="2"/>
      <scheme val="minor"/>
    </font>
    <font>
      <u/>
      <sz val="12"/>
      <color theme="10"/>
      <name val="Calibri"/>
      <family val="2"/>
      <scheme val="minor"/>
    </font>
    <font>
      <sz val="11"/>
      <color rgb="FF202020"/>
      <name val="Calibri"/>
      <family val="2"/>
      <scheme val="minor"/>
    </font>
    <font>
      <b/>
      <u/>
      <sz val="11"/>
      <color rgb="FF00B0F0"/>
      <name val="Calibri"/>
      <family val="2"/>
      <scheme val="minor"/>
    </font>
    <font>
      <sz val="15"/>
      <color theme="1"/>
      <name val="Calibri"/>
      <family val="2"/>
      <scheme val="minor"/>
    </font>
    <font>
      <b/>
      <u/>
      <sz val="15"/>
      <color theme="1"/>
      <name val="Calibri"/>
      <family val="2"/>
      <scheme val="minor"/>
    </font>
    <font>
      <b/>
      <u/>
      <sz val="11"/>
      <color rgb="FFFFC000"/>
      <name val="Calibri"/>
      <family val="2"/>
      <scheme val="minor"/>
    </font>
    <font>
      <sz val="11"/>
      <color theme="1"/>
      <name val="Calibri"/>
      <family val="2"/>
    </font>
    <font>
      <b/>
      <u/>
      <sz val="11"/>
      <color rgb="FF92D050"/>
      <name val="Calibri"/>
      <family val="2"/>
      <scheme val="minor"/>
    </font>
    <font>
      <b/>
      <u/>
      <sz val="11"/>
      <color theme="0" tint="-0.249977111117893"/>
      <name val="Calibri"/>
      <family val="2"/>
      <scheme val="minor"/>
    </font>
    <font>
      <sz val="11"/>
      <color theme="8"/>
      <name val="Calibri"/>
      <family val="2"/>
      <scheme val="minor"/>
    </font>
    <font>
      <b/>
      <sz val="11"/>
      <color theme="8" tint="-0.249977111117893"/>
      <name val="Calibri"/>
      <family val="2"/>
      <scheme val="minor"/>
    </font>
    <font>
      <b/>
      <i/>
      <u/>
      <sz val="12"/>
      <color rgb="FFFF0000"/>
      <name val="Calibri"/>
      <family val="2"/>
      <scheme val="minor"/>
    </font>
    <font>
      <sz val="7.7"/>
      <color theme="1"/>
      <name val="Calibri"/>
      <family val="2"/>
    </font>
    <font>
      <b/>
      <strike/>
      <sz val="11"/>
      <color rgb="FFFF0000"/>
      <name val="Calibri"/>
      <family val="2"/>
      <scheme val="minor"/>
    </font>
    <font>
      <strike/>
      <sz val="11"/>
      <color rgb="FFFF0000"/>
      <name val="Calibri"/>
      <family val="2"/>
      <scheme val="minor"/>
    </font>
    <font>
      <b/>
      <strike/>
      <sz val="11"/>
      <color theme="1"/>
      <name val="Calibri"/>
      <family val="2"/>
      <scheme val="minor"/>
    </font>
    <font>
      <strike/>
      <sz val="11"/>
      <color theme="1"/>
      <name val="Calibri"/>
      <family val="2"/>
      <scheme val="minor"/>
    </font>
    <font>
      <i/>
      <u/>
      <sz val="11"/>
      <color theme="1"/>
      <name val="Calibri"/>
      <family val="2"/>
      <scheme val="minor"/>
    </font>
    <font>
      <b/>
      <u/>
      <sz val="11"/>
      <color theme="5" tint="0.59999389629810485"/>
      <name val="Calibri"/>
      <family val="2"/>
      <scheme val="minor"/>
    </font>
    <font>
      <b/>
      <u/>
      <sz val="11"/>
      <color rgb="FFFFFF00"/>
      <name val="Calibri"/>
      <family val="2"/>
      <scheme val="minor"/>
    </font>
    <font>
      <sz val="14"/>
      <color theme="1"/>
      <name val="Calibri"/>
      <family val="2"/>
    </font>
    <font>
      <sz val="14"/>
      <color rgb="FF0070C0"/>
      <name val="Calibri"/>
      <family val="2"/>
      <scheme val="minor"/>
    </font>
    <font>
      <b/>
      <u/>
      <sz val="12"/>
      <color rgb="FFFF0000"/>
      <name val="Calibri"/>
      <family val="2"/>
      <scheme val="minor"/>
    </font>
    <font>
      <u val="singleAccounting"/>
      <sz val="11"/>
      <name val="Calibri"/>
      <family val="2"/>
      <scheme val="minor"/>
    </font>
    <font>
      <i/>
      <u/>
      <sz val="11"/>
      <name val="Calibri"/>
      <family val="2"/>
      <scheme val="minor"/>
    </font>
    <font>
      <b/>
      <u/>
      <sz val="11"/>
      <color theme="10"/>
      <name val="Calibri"/>
      <family val="2"/>
      <scheme val="minor"/>
    </font>
    <font>
      <sz val="15"/>
      <color theme="4"/>
      <name val="Calibri"/>
      <family val="2"/>
      <scheme val="minor"/>
    </font>
    <font>
      <b/>
      <sz val="10.5"/>
      <color theme="1"/>
      <name val="Calibri"/>
      <family val="2"/>
      <scheme val="minor"/>
    </font>
    <font>
      <b/>
      <sz val="10.5"/>
      <color rgb="FFFF0000"/>
      <name val="Calibri"/>
      <family val="2"/>
      <scheme val="minor"/>
    </font>
    <font>
      <b/>
      <u/>
      <sz val="10.5"/>
      <color theme="1"/>
      <name val="Calibri"/>
      <family val="2"/>
      <scheme val="minor"/>
    </font>
    <font>
      <b/>
      <i/>
      <u/>
      <sz val="11"/>
      <color theme="1"/>
      <name val="Calibri"/>
      <family val="2"/>
      <scheme val="minor"/>
    </font>
    <font>
      <sz val="5"/>
      <color theme="1"/>
      <name val="Calibri"/>
      <family val="2"/>
      <scheme val="minor"/>
    </font>
    <font>
      <sz val="11"/>
      <color rgb="FF00B0F0"/>
      <name val="Calibri"/>
      <family val="2"/>
      <scheme val="minor"/>
    </font>
    <font>
      <b/>
      <sz val="11"/>
      <color rgb="FF00B0F0"/>
      <name val="Calibri"/>
      <family val="2"/>
      <scheme val="minor"/>
    </font>
    <font>
      <b/>
      <strike/>
      <u/>
      <sz val="12"/>
      <color rgb="FFFF0000"/>
      <name val="Calibri"/>
      <family val="2"/>
      <scheme val="minor"/>
    </font>
    <font>
      <b/>
      <strike/>
      <sz val="11"/>
      <name val="Calibri"/>
      <family val="2"/>
      <scheme val="minor"/>
    </font>
    <font>
      <i/>
      <u val="singleAccounting"/>
      <sz val="11"/>
      <name val="Calibri"/>
      <family val="2"/>
      <scheme val="minor"/>
    </font>
    <font>
      <b/>
      <sz val="12"/>
      <color rgb="FF00B050"/>
      <name val="Calibri"/>
      <family val="2"/>
      <scheme val="minor"/>
    </font>
    <font>
      <b/>
      <sz val="13"/>
      <color theme="1"/>
      <name val="Calibri"/>
      <family val="2"/>
      <scheme val="minor"/>
    </font>
    <font>
      <sz val="8"/>
      <color theme="1"/>
      <name val="Calibri"/>
      <family val="2"/>
      <scheme val="minor"/>
    </font>
    <font>
      <sz val="14"/>
      <name val="Calibri"/>
      <family val="2"/>
      <scheme val="minor"/>
    </font>
    <font>
      <b/>
      <sz val="15"/>
      <name val="Calibri"/>
      <family val="2"/>
      <scheme val="minor"/>
    </font>
    <font>
      <sz val="16"/>
      <color theme="1"/>
      <name val="Calibri"/>
      <family val="2"/>
      <scheme val="minor"/>
    </font>
    <font>
      <u/>
      <sz val="11"/>
      <color rgb="FFFF0000"/>
      <name val="Calibri"/>
      <family val="2"/>
      <scheme val="minor"/>
    </font>
  </fonts>
  <fills count="26">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4" tint="0.39997558519241921"/>
        <bgColor indexed="64"/>
      </patternFill>
    </fill>
    <fill>
      <patternFill patternType="solid">
        <fgColor theme="7" tint="0.59999389629810485"/>
        <bgColor indexed="64"/>
      </patternFill>
    </fill>
    <fill>
      <patternFill patternType="solid">
        <fgColor rgb="FFFFC000"/>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rgb="FFFF0000"/>
        <bgColor indexed="64"/>
      </patternFill>
    </fill>
    <fill>
      <patternFill patternType="solid">
        <fgColor rgb="FF00B0F0"/>
        <bgColor indexed="64"/>
      </patternFill>
    </fill>
    <fill>
      <patternFill patternType="solid">
        <fgColor rgb="FFFCFCFC"/>
        <bgColor indexed="64"/>
      </patternFill>
    </fill>
    <fill>
      <patternFill patternType="solid">
        <fgColor theme="5" tint="0.59999389629810485"/>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1"/>
        <bgColor indexed="64"/>
      </patternFill>
    </fill>
    <fill>
      <patternFill patternType="solid">
        <fgColor theme="9" tint="0.79998168889431442"/>
        <bgColor indexed="64"/>
      </patternFill>
    </fill>
    <fill>
      <patternFill patternType="solid">
        <fgColor rgb="FFFFFF99"/>
        <bgColor indexed="64"/>
      </patternFill>
    </fill>
    <fill>
      <patternFill patternType="solid">
        <fgColor theme="4"/>
        <bgColor indexed="64"/>
      </patternFill>
    </fill>
    <fill>
      <patternFill patternType="solid">
        <fgColor theme="4" tint="0.59999389629810485"/>
        <bgColor indexed="64"/>
      </patternFill>
    </fill>
    <fill>
      <patternFill patternType="solid">
        <fgColor theme="0"/>
        <bgColor indexed="64"/>
      </patternFill>
    </fill>
    <fill>
      <patternFill patternType="solid">
        <fgColor theme="5" tint="0.39997558519241921"/>
        <bgColor indexed="64"/>
      </patternFill>
    </fill>
    <fill>
      <patternFill patternType="solid">
        <fgColor theme="0" tint="-0.34998626667073579"/>
        <bgColor indexed="64"/>
      </patternFill>
    </fill>
    <fill>
      <patternFill patternType="solid">
        <fgColor theme="9"/>
        <bgColor indexed="64"/>
      </patternFill>
    </fill>
  </fills>
  <borders count="8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style="medium">
        <color indexed="64"/>
      </left>
      <right/>
      <top/>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style="thin">
        <color indexed="64"/>
      </top>
      <bottom style="medium">
        <color indexed="64"/>
      </bottom>
      <diagonal/>
    </border>
    <border>
      <left/>
      <right style="medium">
        <color indexed="64"/>
      </right>
      <top/>
      <bottom style="thin">
        <color indexed="64"/>
      </bottom>
      <diagonal/>
    </border>
    <border>
      <left/>
      <right style="thin">
        <color indexed="64"/>
      </right>
      <top style="medium">
        <color indexed="64"/>
      </top>
      <bottom style="medium">
        <color indexed="64"/>
      </bottom>
      <diagonal/>
    </border>
    <border>
      <left/>
      <right/>
      <top/>
      <bottom style="thin">
        <color indexed="64"/>
      </bottom>
      <diagonal/>
    </border>
    <border>
      <left/>
      <right style="medium">
        <color indexed="64"/>
      </right>
      <top style="thin">
        <color indexed="64"/>
      </top>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right style="thin">
        <color indexed="64"/>
      </right>
      <top style="thin">
        <color indexed="64"/>
      </top>
      <bottom/>
      <diagonal/>
    </border>
    <border>
      <left/>
      <right/>
      <top style="thin">
        <color indexed="64"/>
      </top>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s>
  <cellStyleXfs count="3">
    <xf numFmtId="0" fontId="0" fillId="0" borderId="0"/>
    <xf numFmtId="0" fontId="1" fillId="0" borderId="0"/>
    <xf numFmtId="0" fontId="13" fillId="0" borderId="0" applyNumberFormat="0" applyFill="0" applyBorder="0" applyAlignment="0" applyProtection="0"/>
  </cellStyleXfs>
  <cellXfs count="3134">
    <xf numFmtId="0" fontId="0" fillId="0" borderId="0" xfId="0"/>
    <xf numFmtId="0" fontId="0" fillId="0" borderId="0" xfId="0" applyAlignment="1">
      <alignment vertical="top"/>
    </xf>
    <xf numFmtId="0" fontId="0" fillId="0" borderId="0" xfId="0" applyAlignment="1">
      <alignment vertical="center"/>
    </xf>
    <xf numFmtId="0" fontId="3" fillId="0" borderId="0" xfId="0" applyFont="1" applyAlignment="1">
      <alignment horizontal="center" vertical="center"/>
    </xf>
    <xf numFmtId="0" fontId="2" fillId="0" borderId="0" xfId="0" applyFont="1"/>
    <xf numFmtId="0" fontId="3" fillId="2" borderId="36" xfId="0" applyFont="1" applyFill="1" applyBorder="1" applyAlignment="1">
      <alignment horizontal="center" vertical="center"/>
    </xf>
    <xf numFmtId="0" fontId="3" fillId="2" borderId="4" xfId="0" applyFont="1" applyFill="1" applyBorder="1" applyAlignment="1">
      <alignment horizontal="center" vertical="center"/>
    </xf>
    <xf numFmtId="0" fontId="15" fillId="2" borderId="5" xfId="0" applyFont="1" applyFill="1" applyBorder="1" applyAlignment="1">
      <alignment horizontal="center" vertical="center" wrapText="1"/>
    </xf>
    <xf numFmtId="0" fontId="0" fillId="0" borderId="26" xfId="0" applyBorder="1"/>
    <xf numFmtId="0" fontId="3" fillId="2" borderId="3" xfId="0" applyFont="1" applyFill="1" applyBorder="1" applyAlignment="1">
      <alignment horizontal="center" vertical="center"/>
    </xf>
    <xf numFmtId="0" fontId="0" fillId="0" borderId="26" xfId="0" applyBorder="1" applyAlignment="1">
      <alignment horizontal="center"/>
    </xf>
    <xf numFmtId="0" fontId="0" fillId="0" borderId="15" xfId="0" applyBorder="1" applyAlignment="1">
      <alignment horizontal="center"/>
    </xf>
    <xf numFmtId="0" fontId="14" fillId="0" borderId="0" xfId="0" applyFont="1" applyAlignment="1">
      <alignment horizontal="center" vertical="center"/>
    </xf>
    <xf numFmtId="0" fontId="18" fillId="0" borderId="0" xfId="0" applyFont="1" applyAlignment="1">
      <alignment horizontal="left" vertical="center"/>
    </xf>
    <xf numFmtId="0" fontId="15" fillId="2" borderId="60" xfId="0" applyFont="1" applyFill="1" applyBorder="1" applyAlignment="1">
      <alignment horizontal="center" vertical="center"/>
    </xf>
    <xf numFmtId="0" fontId="15" fillId="2" borderId="61" xfId="0" applyFont="1" applyFill="1" applyBorder="1" applyAlignment="1">
      <alignment horizontal="center" vertical="center"/>
    </xf>
    <xf numFmtId="0" fontId="3" fillId="3" borderId="8" xfId="0" applyFont="1" applyFill="1" applyBorder="1" applyAlignment="1">
      <alignment horizontal="center"/>
    </xf>
    <xf numFmtId="0" fontId="3" fillId="3" borderId="9" xfId="0" applyFont="1" applyFill="1" applyBorder="1" applyAlignment="1">
      <alignment horizontal="center"/>
    </xf>
    <xf numFmtId="0" fontId="0" fillId="0" borderId="0" xfId="0" applyAlignment="1">
      <alignment horizontal="center" vertical="center"/>
    </xf>
    <xf numFmtId="0" fontId="0" fillId="0" borderId="0" xfId="0" quotePrefix="1" applyAlignment="1">
      <alignment horizontal="left" vertical="center"/>
    </xf>
    <xf numFmtId="0" fontId="13" fillId="0" borderId="0" xfId="2" applyAlignment="1">
      <alignment vertical="center"/>
    </xf>
    <xf numFmtId="44" fontId="0" fillId="0" borderId="0" xfId="0" applyNumberFormat="1" applyAlignment="1">
      <alignment vertical="center"/>
    </xf>
    <xf numFmtId="44" fontId="3" fillId="2" borderId="3" xfId="0" applyNumberFormat="1" applyFont="1" applyFill="1" applyBorder="1" applyAlignment="1">
      <alignment horizontal="center" vertical="center"/>
    </xf>
    <xf numFmtId="0" fontId="0" fillId="0" borderId="0" xfId="0" applyAlignment="1">
      <alignment horizontal="right" vertical="center"/>
    </xf>
    <xf numFmtId="0" fontId="19" fillId="0" borderId="0" xfId="0" applyFont="1" applyAlignment="1">
      <alignment horizontal="left" vertical="center"/>
    </xf>
    <xf numFmtId="0" fontId="13" fillId="0" borderId="0" xfId="2" applyFill="1" applyBorder="1" applyAlignment="1">
      <alignment horizontal="left" vertical="center"/>
    </xf>
    <xf numFmtId="0" fontId="9" fillId="0" borderId="0" xfId="0" applyFont="1" applyAlignment="1">
      <alignment vertical="center"/>
    </xf>
    <xf numFmtId="44" fontId="3" fillId="2" borderId="48" xfId="0" applyNumberFormat="1" applyFont="1" applyFill="1" applyBorder="1" applyAlignment="1">
      <alignment horizontal="center" vertical="center"/>
    </xf>
    <xf numFmtId="0" fontId="0" fillId="0" borderId="8" xfId="0" applyBorder="1" applyAlignment="1">
      <alignment horizontal="center" vertical="center"/>
    </xf>
    <xf numFmtId="0" fontId="0" fillId="0" borderId="34" xfId="0" applyBorder="1" applyAlignment="1">
      <alignment horizontal="center" vertical="center"/>
    </xf>
    <xf numFmtId="0" fontId="0" fillId="0" borderId="26" xfId="0" applyBorder="1" applyAlignment="1">
      <alignment horizontal="center" vertical="center"/>
    </xf>
    <xf numFmtId="0" fontId="0" fillId="0" borderId="35" xfId="0" applyBorder="1" applyAlignment="1">
      <alignment horizontal="center" vertical="center"/>
    </xf>
    <xf numFmtId="0" fontId="13" fillId="0" borderId="0" xfId="2" applyAlignment="1">
      <alignment horizontal="left" vertical="center"/>
    </xf>
    <xf numFmtId="0" fontId="11" fillId="0" borderId="0" xfId="0" applyFont="1" applyAlignment="1">
      <alignment vertical="center"/>
    </xf>
    <xf numFmtId="44" fontId="3" fillId="3" borderId="24" xfId="0" applyNumberFormat="1" applyFont="1" applyFill="1" applyBorder="1" applyAlignment="1">
      <alignment horizontal="center" vertical="center"/>
    </xf>
    <xf numFmtId="42" fontId="3" fillId="12" borderId="8" xfId="0" applyNumberFormat="1" applyFont="1" applyFill="1" applyBorder="1" applyAlignment="1">
      <alignment horizontal="center" vertical="center"/>
    </xf>
    <xf numFmtId="44" fontId="3" fillId="12" borderId="9" xfId="0" applyNumberFormat="1" applyFont="1" applyFill="1" applyBorder="1" applyAlignment="1">
      <alignment horizontal="center" vertical="center"/>
    </xf>
    <xf numFmtId="0" fontId="3" fillId="2" borderId="61" xfId="0" applyFont="1" applyFill="1" applyBorder="1" applyAlignment="1">
      <alignment horizontal="center" vertical="center"/>
    </xf>
    <xf numFmtId="0" fontId="3" fillId="2" borderId="22" xfId="0" applyFont="1" applyFill="1" applyBorder="1" applyAlignment="1">
      <alignment horizontal="center" vertical="center"/>
    </xf>
    <xf numFmtId="44" fontId="3" fillId="12" borderId="26" xfId="0" applyNumberFormat="1" applyFont="1" applyFill="1" applyBorder="1" applyAlignment="1">
      <alignment horizontal="center" vertical="center"/>
    </xf>
    <xf numFmtId="0" fontId="14" fillId="0" borderId="31" xfId="0" applyFont="1" applyBorder="1" applyAlignment="1">
      <alignment horizontal="left" vertical="center" wrapText="1"/>
    </xf>
    <xf numFmtId="0" fontId="14" fillId="0" borderId="32" xfId="0" applyFont="1" applyBorder="1" applyAlignment="1">
      <alignment horizontal="left" vertical="center" wrapText="1"/>
    </xf>
    <xf numFmtId="44" fontId="3" fillId="3" borderId="36" xfId="0" applyNumberFormat="1" applyFont="1" applyFill="1" applyBorder="1" applyAlignment="1">
      <alignment horizontal="center" vertical="center"/>
    </xf>
    <xf numFmtId="0" fontId="3" fillId="2" borderId="23" xfId="0" applyFont="1" applyFill="1" applyBorder="1" applyAlignment="1">
      <alignment horizontal="center" vertical="center"/>
    </xf>
    <xf numFmtId="44" fontId="3" fillId="12" borderId="24" xfId="0" applyNumberFormat="1" applyFont="1" applyFill="1" applyBorder="1" applyAlignment="1">
      <alignment horizontal="center" vertical="center"/>
    </xf>
    <xf numFmtId="0" fontId="0" fillId="0" borderId="56" xfId="0" applyBorder="1" applyAlignment="1">
      <alignment vertical="top" wrapText="1"/>
    </xf>
    <xf numFmtId="0" fontId="0" fillId="0" borderId="54" xfId="0" applyBorder="1" applyAlignment="1">
      <alignment vertical="top" wrapText="1"/>
    </xf>
    <xf numFmtId="44" fontId="3" fillId="3" borderId="3" xfId="0" applyNumberFormat="1" applyFont="1" applyFill="1" applyBorder="1" applyAlignment="1">
      <alignment vertical="center"/>
    </xf>
    <xf numFmtId="44" fontId="3" fillId="2" borderId="50" xfId="0" applyNumberFormat="1" applyFont="1" applyFill="1" applyBorder="1" applyAlignment="1">
      <alignment horizontal="center" vertical="center"/>
    </xf>
    <xf numFmtId="44" fontId="3" fillId="3" borderId="45" xfId="0" applyNumberFormat="1" applyFont="1" applyFill="1" applyBorder="1" applyAlignment="1">
      <alignment vertical="center"/>
    </xf>
    <xf numFmtId="44" fontId="3" fillId="3" borderId="31" xfId="0" applyNumberFormat="1" applyFont="1" applyFill="1" applyBorder="1" applyAlignment="1">
      <alignment vertical="center"/>
    </xf>
    <xf numFmtId="0" fontId="15" fillId="2" borderId="50" xfId="0" applyFont="1" applyFill="1" applyBorder="1" applyAlignment="1">
      <alignment horizontal="left" vertical="center"/>
    </xf>
    <xf numFmtId="0" fontId="0" fillId="0" borderId="0" xfId="0" applyAlignment="1">
      <alignment vertical="center" wrapText="1"/>
    </xf>
    <xf numFmtId="44" fontId="3" fillId="12" borderId="3" xfId="0" applyNumberFormat="1" applyFont="1" applyFill="1" applyBorder="1" applyAlignment="1">
      <alignment horizontal="center" vertical="center"/>
    </xf>
    <xf numFmtId="0" fontId="15" fillId="2" borderId="4" xfId="0" applyFont="1" applyFill="1" applyBorder="1" applyAlignment="1">
      <alignment horizontal="center" vertical="center"/>
    </xf>
    <xf numFmtId="0" fontId="3" fillId="2" borderId="19" xfId="0" applyFont="1" applyFill="1" applyBorder="1" applyAlignment="1">
      <alignment horizontal="center" vertical="center"/>
    </xf>
    <xf numFmtId="44" fontId="3" fillId="3" borderId="3" xfId="0" applyNumberFormat="1" applyFont="1" applyFill="1" applyBorder="1" applyAlignment="1">
      <alignment horizontal="center" vertical="center"/>
    </xf>
    <xf numFmtId="44" fontId="3" fillId="2" borderId="23" xfId="0" applyNumberFormat="1" applyFont="1" applyFill="1" applyBorder="1" applyAlignment="1">
      <alignment horizontal="center" vertical="center"/>
    </xf>
    <xf numFmtId="0" fontId="0" fillId="0" borderId="0" xfId="0" quotePrefix="1" applyAlignment="1">
      <alignment vertical="center"/>
    </xf>
    <xf numFmtId="0" fontId="3" fillId="2" borderId="2" xfId="0" applyFont="1" applyFill="1" applyBorder="1" applyAlignment="1">
      <alignment horizontal="center" vertical="center"/>
    </xf>
    <xf numFmtId="0" fontId="15" fillId="2" borderId="36" xfId="0" applyFont="1" applyFill="1" applyBorder="1" applyAlignment="1">
      <alignment horizontal="center" vertical="center"/>
    </xf>
    <xf numFmtId="44" fontId="15" fillId="2" borderId="3" xfId="0" applyNumberFormat="1" applyFont="1" applyFill="1" applyBorder="1" applyAlignment="1">
      <alignment horizontal="center" vertical="center" wrapText="1"/>
    </xf>
    <xf numFmtId="0" fontId="3" fillId="2" borderId="60" xfId="0" applyFont="1" applyFill="1" applyBorder="1" applyAlignment="1">
      <alignment horizontal="center" vertical="center"/>
    </xf>
    <xf numFmtId="0" fontId="3" fillId="2" borderId="66" xfId="0" applyFont="1" applyFill="1" applyBorder="1" applyAlignment="1">
      <alignment horizontal="center" vertical="center"/>
    </xf>
    <xf numFmtId="0" fontId="0" fillId="0" borderId="33" xfId="0" applyBorder="1" applyAlignment="1">
      <alignment horizontal="center" vertical="center"/>
    </xf>
    <xf numFmtId="44" fontId="3" fillId="2" borderId="2" xfId="0" applyNumberFormat="1" applyFont="1" applyFill="1" applyBorder="1" applyAlignment="1">
      <alignment horizontal="center" vertical="center"/>
    </xf>
    <xf numFmtId="0" fontId="0" fillId="0" borderId="9" xfId="0" applyBorder="1" applyAlignment="1">
      <alignment horizontal="center" vertical="center"/>
    </xf>
    <xf numFmtId="0" fontId="0" fillId="0" borderId="15" xfId="0" applyBorder="1" applyAlignment="1">
      <alignment horizontal="center" vertical="center"/>
    </xf>
    <xf numFmtId="44" fontId="3" fillId="2" borderId="28" xfId="0" applyNumberFormat="1" applyFont="1" applyFill="1" applyBorder="1" applyAlignment="1">
      <alignment horizontal="center" vertical="center"/>
    </xf>
    <xf numFmtId="0" fontId="0" fillId="0" borderId="43" xfId="0" applyBorder="1" applyAlignment="1">
      <alignment horizontal="center" vertical="center"/>
    </xf>
    <xf numFmtId="42" fontId="3" fillId="3" borderId="36" xfId="0" applyNumberFormat="1" applyFont="1" applyFill="1" applyBorder="1" applyAlignment="1">
      <alignment horizontal="center" vertical="center"/>
    </xf>
    <xf numFmtId="42" fontId="3" fillId="3" borderId="5" xfId="0" applyNumberFormat="1" applyFont="1" applyFill="1" applyBorder="1" applyAlignment="1">
      <alignment horizontal="center" vertical="center"/>
    </xf>
    <xf numFmtId="44" fontId="3" fillId="2" borderId="36" xfId="0" applyNumberFormat="1" applyFont="1" applyFill="1" applyBorder="1" applyAlignment="1">
      <alignment horizontal="center" vertical="center"/>
    </xf>
    <xf numFmtId="0" fontId="3" fillId="2" borderId="59" xfId="0" applyFont="1" applyFill="1" applyBorder="1" applyAlignment="1">
      <alignment horizontal="center" vertical="center"/>
    </xf>
    <xf numFmtId="44" fontId="3" fillId="2" borderId="25" xfId="0" applyNumberFormat="1" applyFont="1" applyFill="1" applyBorder="1" applyAlignment="1">
      <alignment horizontal="center" vertical="center"/>
    </xf>
    <xf numFmtId="0" fontId="27" fillId="0" borderId="0" xfId="0" applyFont="1" applyAlignment="1">
      <alignment horizontal="left" vertical="center"/>
    </xf>
    <xf numFmtId="0" fontId="15" fillId="2" borderId="28" xfId="0" applyFont="1" applyFill="1" applyBorder="1" applyAlignment="1">
      <alignment horizontal="left" vertical="center"/>
    </xf>
    <xf numFmtId="0" fontId="3" fillId="0" borderId="0" xfId="0" quotePrefix="1" applyFont="1" applyAlignment="1">
      <alignment vertical="center"/>
    </xf>
    <xf numFmtId="44" fontId="3" fillId="12" borderId="8" xfId="0" applyNumberFormat="1" applyFont="1" applyFill="1" applyBorder="1" applyAlignment="1">
      <alignment vertical="center"/>
    </xf>
    <xf numFmtId="44" fontId="3" fillId="12" borderId="26" xfId="0" applyNumberFormat="1" applyFont="1" applyFill="1" applyBorder="1" applyAlignment="1">
      <alignment vertical="center"/>
    </xf>
    <xf numFmtId="0" fontId="3" fillId="0" borderId="1" xfId="0" applyFont="1" applyBorder="1" applyAlignment="1">
      <alignment horizontal="center" vertical="center"/>
    </xf>
    <xf numFmtId="0" fontId="3" fillId="0" borderId="34" xfId="0" applyFont="1" applyBorder="1" applyAlignment="1">
      <alignment horizontal="center" vertical="center"/>
    </xf>
    <xf numFmtId="0" fontId="3" fillId="0" borderId="35" xfId="0" applyFont="1" applyBorder="1" applyAlignment="1">
      <alignment horizontal="center" vertical="center"/>
    </xf>
    <xf numFmtId="0" fontId="0" fillId="0" borderId="11" xfId="0" applyBorder="1" applyAlignment="1">
      <alignment vertical="center" wrapText="1"/>
    </xf>
    <xf numFmtId="0" fontId="0" fillId="0" borderId="1" xfId="0" applyBorder="1" applyAlignment="1">
      <alignment vertical="center" wrapText="1"/>
    </xf>
    <xf numFmtId="0" fontId="0" fillId="0" borderId="20" xfId="0" applyBorder="1" applyAlignment="1">
      <alignment vertical="center" wrapText="1"/>
    </xf>
    <xf numFmtId="0" fontId="0" fillId="0" borderId="17" xfId="0" applyBorder="1" applyAlignment="1">
      <alignment vertical="center" wrapText="1"/>
    </xf>
    <xf numFmtId="0" fontId="2" fillId="0" borderId="6"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9" fillId="0" borderId="1" xfId="0" applyFont="1" applyBorder="1" applyAlignment="1">
      <alignment vertical="center" wrapText="1"/>
    </xf>
    <xf numFmtId="0" fontId="9" fillId="0" borderId="0" xfId="0" applyFont="1" applyAlignment="1">
      <alignment horizontal="left" vertical="center" wrapText="1"/>
    </xf>
    <xf numFmtId="0" fontId="3" fillId="0" borderId="43" xfId="0" applyFont="1" applyBorder="1" applyAlignment="1">
      <alignment horizontal="center" vertical="center"/>
    </xf>
    <xf numFmtId="0" fontId="3" fillId="3" borderId="3" xfId="0" applyFont="1" applyFill="1" applyBorder="1" applyAlignment="1">
      <alignment horizontal="center" vertical="center"/>
    </xf>
    <xf numFmtId="0" fontId="0" fillId="0" borderId="6" xfId="0" applyBorder="1" applyAlignment="1">
      <alignment vertical="center" wrapText="1"/>
    </xf>
    <xf numFmtId="0" fontId="7" fillId="6" borderId="4" xfId="0" applyFont="1" applyFill="1" applyBorder="1" applyAlignment="1">
      <alignment vertical="center" wrapText="1"/>
    </xf>
    <xf numFmtId="44" fontId="3" fillId="12" borderId="8" xfId="0" applyNumberFormat="1" applyFont="1" applyFill="1" applyBorder="1" applyAlignment="1">
      <alignment horizontal="center" vertical="center"/>
    </xf>
    <xf numFmtId="0" fontId="3" fillId="12" borderId="9" xfId="0" applyFont="1" applyFill="1" applyBorder="1" applyAlignment="1">
      <alignment horizontal="center" vertical="center"/>
    </xf>
    <xf numFmtId="42" fontId="3" fillId="15" borderId="1" xfId="0" applyNumberFormat="1" applyFont="1" applyFill="1" applyBorder="1" applyAlignment="1">
      <alignment horizontal="center" vertical="center"/>
    </xf>
    <xf numFmtId="42" fontId="0" fillId="0" borderId="0" xfId="0" applyNumberFormat="1" applyAlignment="1">
      <alignment horizontal="center" vertical="center"/>
    </xf>
    <xf numFmtId="0" fontId="0" fillId="0" borderId="1" xfId="0" quotePrefix="1" applyBorder="1" applyAlignment="1">
      <alignment vertical="center" wrapText="1"/>
    </xf>
    <xf numFmtId="0" fontId="31" fillId="0" borderId="0" xfId="0" applyFont="1" applyAlignment="1">
      <alignment vertical="top"/>
    </xf>
    <xf numFmtId="0" fontId="9" fillId="0" borderId="0" xfId="0" applyFont="1" applyAlignment="1">
      <alignment vertical="top"/>
    </xf>
    <xf numFmtId="0" fontId="0" fillId="0" borderId="1" xfId="0" applyBorder="1" applyAlignment="1">
      <alignment horizontal="left" vertical="center" wrapText="1"/>
    </xf>
    <xf numFmtId="0" fontId="2" fillId="0" borderId="0" xfId="0" applyFont="1" applyAlignment="1">
      <alignment vertical="center" wrapText="1"/>
    </xf>
    <xf numFmtId="0" fontId="2" fillId="2" borderId="49" xfId="0" applyFont="1" applyFill="1" applyBorder="1" applyAlignment="1">
      <alignment vertical="center" wrapText="1"/>
    </xf>
    <xf numFmtId="0" fontId="0" fillId="0" borderId="57" xfId="0" applyBorder="1" applyAlignment="1">
      <alignment horizontal="center" wrapText="1"/>
    </xf>
    <xf numFmtId="0" fontId="0" fillId="0" borderId="0" xfId="0" applyAlignment="1">
      <alignment horizontal="right" vertical="center" wrapText="1"/>
    </xf>
    <xf numFmtId="0" fontId="3" fillId="2" borderId="19" xfId="0" applyFont="1" applyFill="1" applyBorder="1" applyAlignment="1">
      <alignment vertical="center" wrapText="1"/>
    </xf>
    <xf numFmtId="0" fontId="0" fillId="0" borderId="45" xfId="0" applyBorder="1" applyAlignment="1">
      <alignment vertical="center" wrapText="1"/>
    </xf>
    <xf numFmtId="0" fontId="0" fillId="0" borderId="47" xfId="0" applyBorder="1" applyAlignment="1">
      <alignment vertical="center" wrapText="1"/>
    </xf>
    <xf numFmtId="0" fontId="3" fillId="3" borderId="19" xfId="0" applyFont="1" applyFill="1" applyBorder="1" applyAlignment="1">
      <alignment vertical="center" wrapText="1"/>
    </xf>
    <xf numFmtId="0" fontId="0" fillId="0" borderId="19" xfId="0" applyBorder="1" applyAlignment="1">
      <alignment vertical="center" wrapText="1"/>
    </xf>
    <xf numFmtId="42" fontId="3" fillId="0" borderId="1" xfId="0" applyNumberFormat="1" applyFont="1" applyBorder="1" applyAlignment="1">
      <alignment horizontal="center" vertical="center"/>
    </xf>
    <xf numFmtId="0" fontId="3" fillId="3" borderId="36"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48" xfId="0" applyFont="1" applyFill="1" applyBorder="1" applyAlignment="1">
      <alignment horizontal="center" vertical="center" wrapText="1"/>
    </xf>
    <xf numFmtId="44" fontId="0" fillId="0" borderId="0" xfId="0" applyNumberFormat="1" applyAlignment="1">
      <alignment horizontal="center" vertical="center"/>
    </xf>
    <xf numFmtId="44" fontId="3" fillId="2" borderId="19" xfId="0" applyNumberFormat="1" applyFont="1" applyFill="1" applyBorder="1" applyAlignment="1">
      <alignment horizontal="center" vertical="center"/>
    </xf>
    <xf numFmtId="0" fontId="15" fillId="2" borderId="3" xfId="0" applyFont="1" applyFill="1" applyBorder="1" applyAlignment="1">
      <alignment horizontal="left" vertical="center"/>
    </xf>
    <xf numFmtId="0" fontId="3" fillId="0" borderId="0" xfId="0" applyFont="1" applyAlignment="1">
      <alignment horizontal="left" vertical="center"/>
    </xf>
    <xf numFmtId="0" fontId="3" fillId="3" borderId="3" xfId="0" applyFont="1" applyFill="1" applyBorder="1" applyAlignment="1">
      <alignment horizontal="center"/>
    </xf>
    <xf numFmtId="42" fontId="3" fillId="3" borderId="3" xfId="0" applyNumberFormat="1" applyFont="1" applyFill="1" applyBorder="1" applyAlignment="1">
      <alignment horizontal="center"/>
    </xf>
    <xf numFmtId="173" fontId="3" fillId="3" borderId="24" xfId="0" applyNumberFormat="1" applyFont="1" applyFill="1" applyBorder="1" applyAlignment="1">
      <alignment horizontal="center" vertical="center"/>
    </xf>
    <xf numFmtId="173" fontId="3" fillId="3" borderId="51" xfId="0" applyNumberFormat="1" applyFont="1" applyFill="1" applyBorder="1" applyAlignment="1">
      <alignment horizontal="center" vertical="center"/>
    </xf>
    <xf numFmtId="0" fontId="0" fillId="0" borderId="0" xfId="0" applyAlignment="1">
      <alignment vertical="center" textRotation="90"/>
    </xf>
    <xf numFmtId="49" fontId="0" fillId="0" borderId="0" xfId="0" applyNumberFormat="1" applyAlignment="1">
      <alignment horizontal="center"/>
    </xf>
    <xf numFmtId="44" fontId="0" fillId="0" borderId="0" xfId="0" applyNumberFormat="1"/>
    <xf numFmtId="0" fontId="19" fillId="0" borderId="0" xfId="1" applyFont="1" applyAlignment="1">
      <alignment vertical="top"/>
    </xf>
    <xf numFmtId="0" fontId="9" fillId="0" borderId="0" xfId="1" applyFont="1" applyAlignment="1">
      <alignment vertical="top"/>
    </xf>
    <xf numFmtId="0" fontId="19" fillId="0" borderId="0" xfId="1" applyFont="1" applyAlignment="1">
      <alignment horizontal="center" vertical="top"/>
    </xf>
    <xf numFmtId="0" fontId="11" fillId="0" borderId="0" xfId="1" applyFont="1" applyAlignment="1">
      <alignment horizontal="center" vertical="top"/>
    </xf>
    <xf numFmtId="0" fontId="3" fillId="2" borderId="3" xfId="0" applyFont="1" applyFill="1" applyBorder="1" applyAlignment="1">
      <alignment horizontal="center"/>
    </xf>
    <xf numFmtId="42" fontId="3" fillId="3" borderId="3" xfId="0" applyNumberFormat="1" applyFont="1" applyFill="1" applyBorder="1"/>
    <xf numFmtId="0" fontId="3" fillId="2" borderId="3" xfId="0" applyFont="1" applyFill="1" applyBorder="1" applyAlignment="1">
      <alignment horizontal="center" vertical="center" wrapText="1"/>
    </xf>
    <xf numFmtId="44" fontId="3" fillId="12" borderId="3" xfId="0" applyNumberFormat="1" applyFont="1" applyFill="1" applyBorder="1" applyAlignment="1">
      <alignment vertical="center"/>
    </xf>
    <xf numFmtId="42" fontId="0" fillId="10" borderId="10" xfId="0" applyNumberFormat="1" applyFill="1" applyBorder="1"/>
    <xf numFmtId="1" fontId="3" fillId="3" borderId="26" xfId="0" applyNumberFormat="1" applyFont="1" applyFill="1" applyBorder="1" applyAlignment="1">
      <alignment horizontal="center" vertical="center"/>
    </xf>
    <xf numFmtId="0" fontId="2" fillId="2" borderId="3" xfId="0" applyFont="1" applyFill="1" applyBorder="1" applyAlignment="1">
      <alignment vertical="center"/>
    </xf>
    <xf numFmtId="167" fontId="0" fillId="10" borderId="1" xfId="0" applyNumberFormat="1" applyFill="1" applyBorder="1" applyAlignment="1">
      <alignment horizontal="center"/>
    </xf>
    <xf numFmtId="0" fontId="0" fillId="10" borderId="1" xfId="0" applyFill="1" applyBorder="1" applyAlignment="1">
      <alignment horizontal="center"/>
    </xf>
    <xf numFmtId="167" fontId="0" fillId="10" borderId="20" xfId="0" applyNumberFormat="1" applyFill="1" applyBorder="1" applyAlignment="1">
      <alignment horizontal="center"/>
    </xf>
    <xf numFmtId="9" fontId="0" fillId="0" borderId="8" xfId="0" applyNumberFormat="1" applyBorder="1" applyAlignment="1">
      <alignment horizontal="center"/>
    </xf>
    <xf numFmtId="9" fontId="0" fillId="0" borderId="9" xfId="0" applyNumberFormat="1" applyBorder="1" applyAlignment="1">
      <alignment horizontal="center"/>
    </xf>
    <xf numFmtId="9" fontId="0" fillId="0" borderId="26" xfId="0" applyNumberFormat="1" applyBorder="1" applyAlignment="1">
      <alignment horizontal="center"/>
    </xf>
    <xf numFmtId="0" fontId="3" fillId="2" borderId="22" xfId="0" applyFont="1" applyFill="1" applyBorder="1" applyAlignment="1">
      <alignment vertical="center" wrapText="1"/>
    </xf>
    <xf numFmtId="0" fontId="0" fillId="0" borderId="46" xfId="0" applyBorder="1" applyAlignment="1">
      <alignment vertical="center" wrapText="1"/>
    </xf>
    <xf numFmtId="0" fontId="0" fillId="2" borderId="3" xfId="0" applyFill="1" applyBorder="1" applyAlignment="1">
      <alignment horizontal="center" vertical="center"/>
    </xf>
    <xf numFmtId="42" fontId="3" fillId="0" borderId="0" xfId="0" applyNumberFormat="1" applyFont="1" applyAlignment="1">
      <alignment horizontal="center" vertical="center"/>
    </xf>
    <xf numFmtId="0" fontId="39" fillId="0" borderId="0" xfId="0" applyFont="1" applyAlignment="1">
      <alignment vertical="top"/>
    </xf>
    <xf numFmtId="0" fontId="3" fillId="0" borderId="64" xfId="0" applyFont="1" applyBorder="1" applyAlignment="1">
      <alignment horizontal="center" vertical="center"/>
    </xf>
    <xf numFmtId="0" fontId="3" fillId="0" borderId="42" xfId="0" applyFont="1" applyBorder="1" applyAlignment="1">
      <alignment horizontal="center" vertical="center"/>
    </xf>
    <xf numFmtId="0" fontId="20" fillId="0" borderId="44" xfId="0" applyFont="1" applyBorder="1" applyAlignment="1">
      <alignment vertical="center"/>
    </xf>
    <xf numFmtId="0" fontId="0" fillId="0" borderId="30" xfId="0" applyBorder="1" applyAlignment="1">
      <alignment vertical="center"/>
    </xf>
    <xf numFmtId="0" fontId="20" fillId="0" borderId="51" xfId="0" applyFont="1" applyBorder="1" applyAlignment="1">
      <alignment vertical="center"/>
    </xf>
    <xf numFmtId="0" fontId="0" fillId="0" borderId="52" xfId="0" applyBorder="1" applyAlignment="1">
      <alignment vertical="center"/>
    </xf>
    <xf numFmtId="0" fontId="0" fillId="0" borderId="29" xfId="0" applyBorder="1" applyAlignment="1">
      <alignment vertical="center"/>
    </xf>
    <xf numFmtId="0" fontId="37" fillId="20" borderId="4" xfId="0" applyFont="1" applyFill="1" applyBorder="1" applyAlignment="1">
      <alignment vertical="center" wrapText="1"/>
    </xf>
    <xf numFmtId="0" fontId="2" fillId="0" borderId="0" xfId="0" applyFont="1" applyAlignment="1">
      <alignment horizontal="center" vertical="center"/>
    </xf>
    <xf numFmtId="0" fontId="0" fillId="0" borderId="71" xfId="0" applyBorder="1" applyAlignment="1">
      <alignment vertical="center" wrapText="1"/>
    </xf>
    <xf numFmtId="0" fontId="0" fillId="0" borderId="76" xfId="0" applyBorder="1" applyAlignment="1">
      <alignment vertical="center" wrapText="1"/>
    </xf>
    <xf numFmtId="0" fontId="0" fillId="0" borderId="3" xfId="0" applyBorder="1" applyAlignment="1">
      <alignment horizontal="center" vertical="center"/>
    </xf>
    <xf numFmtId="0" fontId="3" fillId="2" borderId="19" xfId="0" applyFont="1" applyFill="1" applyBorder="1" applyAlignment="1">
      <alignment horizontal="left" vertical="center" wrapText="1"/>
    </xf>
    <xf numFmtId="0" fontId="0" fillId="0" borderId="28" xfId="0" applyBorder="1" applyAlignment="1">
      <alignment vertical="center" wrapText="1"/>
    </xf>
    <xf numFmtId="0" fontId="0" fillId="0" borderId="64" xfId="0" applyBorder="1" applyAlignment="1">
      <alignment horizontal="center" vertical="center"/>
    </xf>
    <xf numFmtId="0" fontId="3" fillId="0" borderId="3" xfId="0" applyFont="1" applyBorder="1" applyAlignment="1">
      <alignment horizontal="center" vertical="center"/>
    </xf>
    <xf numFmtId="0" fontId="0" fillId="0" borderId="10" xfId="0" applyBorder="1" applyAlignment="1">
      <alignment horizontal="center" vertical="center"/>
    </xf>
    <xf numFmtId="42" fontId="11" fillId="3" borderId="3" xfId="0" applyNumberFormat="1" applyFont="1" applyFill="1" applyBorder="1"/>
    <xf numFmtId="42" fontId="0" fillId="10" borderId="9" xfId="0" applyNumberFormat="1" applyFill="1" applyBorder="1"/>
    <xf numFmtId="42" fontId="11" fillId="3" borderId="48" xfId="0" applyNumberFormat="1" applyFont="1" applyFill="1" applyBorder="1" applyAlignment="1">
      <alignment horizontal="center"/>
    </xf>
    <xf numFmtId="42" fontId="11" fillId="3" borderId="5" xfId="0" applyNumberFormat="1" applyFont="1" applyFill="1" applyBorder="1" applyAlignment="1">
      <alignment horizontal="center"/>
    </xf>
    <xf numFmtId="42" fontId="0" fillId="10" borderId="53" xfId="0" applyNumberFormat="1" applyFill="1" applyBorder="1" applyAlignment="1">
      <alignment horizontal="center"/>
    </xf>
    <xf numFmtId="42" fontId="11" fillId="3" borderId="40" xfId="0" applyNumberFormat="1" applyFont="1" applyFill="1" applyBorder="1" applyAlignment="1">
      <alignment horizontal="center"/>
    </xf>
    <xf numFmtId="42" fontId="11" fillId="3" borderId="4" xfId="0" applyNumberFormat="1" applyFont="1" applyFill="1" applyBorder="1" applyAlignment="1">
      <alignment horizontal="center"/>
    </xf>
    <xf numFmtId="42" fontId="11" fillId="3" borderId="70" xfId="0" applyNumberFormat="1" applyFont="1" applyFill="1" applyBorder="1" applyAlignment="1">
      <alignment horizontal="center"/>
    </xf>
    <xf numFmtId="42" fontId="11" fillId="3" borderId="3" xfId="0" applyNumberFormat="1" applyFont="1" applyFill="1" applyBorder="1" applyAlignment="1">
      <alignment horizontal="center"/>
    </xf>
    <xf numFmtId="0" fontId="3" fillId="14" borderId="36" xfId="0" applyFont="1" applyFill="1" applyBorder="1" applyAlignment="1">
      <alignment horizontal="center" vertical="center"/>
    </xf>
    <xf numFmtId="0" fontId="3" fillId="14" borderId="4" xfId="0" applyFont="1" applyFill="1" applyBorder="1" applyAlignment="1">
      <alignment horizontal="right" vertical="center" wrapText="1"/>
    </xf>
    <xf numFmtId="0" fontId="41" fillId="14" borderId="4" xfId="0" applyFont="1" applyFill="1" applyBorder="1" applyAlignment="1">
      <alignment horizontal="right" vertical="center" wrapText="1"/>
    </xf>
    <xf numFmtId="0" fontId="27" fillId="14" borderId="4" xfId="0" applyFont="1" applyFill="1" applyBorder="1" applyAlignment="1">
      <alignment horizontal="right" vertical="center" wrapText="1"/>
    </xf>
    <xf numFmtId="0" fontId="43" fillId="14" borderId="4" xfId="0" applyFont="1" applyFill="1" applyBorder="1" applyAlignment="1">
      <alignment horizontal="right" vertical="center" wrapText="1"/>
    </xf>
    <xf numFmtId="0" fontId="9" fillId="0" borderId="58" xfId="1" applyFont="1" applyBorder="1" applyAlignment="1">
      <alignment horizontal="left" vertical="top"/>
    </xf>
    <xf numFmtId="0" fontId="9" fillId="0" borderId="58" xfId="1" applyFont="1" applyBorder="1" applyAlignment="1">
      <alignment vertical="top"/>
    </xf>
    <xf numFmtId="0" fontId="0" fillId="0" borderId="9" xfId="0" applyBorder="1"/>
    <xf numFmtId="0" fontId="0" fillId="0" borderId="8" xfId="0" applyBorder="1" applyAlignment="1">
      <alignment horizontal="center"/>
    </xf>
    <xf numFmtId="0" fontId="3" fillId="0" borderId="27" xfId="0" applyFont="1" applyBorder="1" applyAlignment="1">
      <alignment horizontal="center" vertical="center"/>
    </xf>
    <xf numFmtId="0" fontId="3" fillId="14" borderId="40" xfId="0" applyFont="1" applyFill="1" applyBorder="1" applyAlignment="1">
      <alignment horizontal="center" vertical="center"/>
    </xf>
    <xf numFmtId="0" fontId="2" fillId="14" borderId="4" xfId="0" applyFont="1" applyFill="1" applyBorder="1" applyAlignment="1">
      <alignment horizontal="right" vertical="center" wrapText="1"/>
    </xf>
    <xf numFmtId="0" fontId="27" fillId="3" borderId="4" xfId="0" applyFont="1" applyFill="1" applyBorder="1" applyAlignment="1">
      <alignment horizontal="right" vertical="center" wrapText="1"/>
    </xf>
    <xf numFmtId="0" fontId="3" fillId="20" borderId="40" xfId="0" applyFont="1" applyFill="1" applyBorder="1" applyAlignment="1">
      <alignment horizontal="center" vertical="center"/>
    </xf>
    <xf numFmtId="0" fontId="3" fillId="0" borderId="38" xfId="0" quotePrefix="1" applyFont="1" applyBorder="1" applyAlignment="1">
      <alignment horizontal="center" vertical="center"/>
    </xf>
    <xf numFmtId="0" fontId="3" fillId="0" borderId="37" xfId="0" quotePrefix="1" applyFont="1" applyBorder="1" applyAlignment="1">
      <alignment horizontal="center" vertical="center"/>
    </xf>
    <xf numFmtId="0" fontId="3" fillId="0" borderId="39" xfId="0" quotePrefix="1" applyFont="1" applyBorder="1" applyAlignment="1">
      <alignment horizontal="center" vertical="center"/>
    </xf>
    <xf numFmtId="0" fontId="3" fillId="0" borderId="41" xfId="0" quotePrefix="1" applyFont="1" applyBorder="1" applyAlignment="1">
      <alignment horizontal="center" vertical="center"/>
    </xf>
    <xf numFmtId="0" fontId="3" fillId="0" borderId="41" xfId="0" applyFont="1" applyBorder="1" applyAlignment="1">
      <alignment horizontal="center" vertical="center"/>
    </xf>
    <xf numFmtId="0" fontId="3" fillId="0" borderId="40" xfId="0" applyFont="1" applyBorder="1" applyAlignment="1">
      <alignment horizontal="center" vertical="center"/>
    </xf>
    <xf numFmtId="0" fontId="3" fillId="6" borderId="40" xfId="0" applyFont="1" applyFill="1" applyBorder="1" applyAlignment="1">
      <alignment horizontal="center" vertical="center"/>
    </xf>
    <xf numFmtId="0" fontId="11" fillId="0" borderId="39" xfId="0" quotePrefix="1" applyFont="1" applyBorder="1" applyAlignment="1">
      <alignment horizontal="center" vertical="center"/>
    </xf>
    <xf numFmtId="0" fontId="3" fillId="14" borderId="40" xfId="0" quotePrefix="1" applyFont="1" applyFill="1" applyBorder="1" applyAlignment="1">
      <alignment horizontal="center" vertical="center"/>
    </xf>
    <xf numFmtId="0" fontId="3" fillId="0" borderId="42" xfId="0" quotePrefix="1" applyFont="1" applyBorder="1" applyAlignment="1">
      <alignment horizontal="center" vertical="center"/>
    </xf>
    <xf numFmtId="0" fontId="3" fillId="0" borderId="37" xfId="0" applyFont="1" applyBorder="1" applyAlignment="1">
      <alignment horizontal="center" vertical="center"/>
    </xf>
    <xf numFmtId="0" fontId="3" fillId="3" borderId="40" xfId="0" applyFont="1" applyFill="1" applyBorder="1" applyAlignment="1">
      <alignment horizontal="center" vertical="center"/>
    </xf>
    <xf numFmtId="0" fontId="2" fillId="14" borderId="40" xfId="0" applyFont="1" applyFill="1" applyBorder="1" applyAlignment="1">
      <alignment horizontal="center" vertical="center"/>
    </xf>
    <xf numFmtId="0" fontId="3" fillId="0" borderId="38" xfId="0" applyFont="1" applyBorder="1" applyAlignment="1">
      <alignment horizontal="center" vertical="center"/>
    </xf>
    <xf numFmtId="0" fontId="2" fillId="14" borderId="40" xfId="0" quotePrefix="1" applyFont="1" applyFill="1" applyBorder="1" applyAlignment="1">
      <alignment horizontal="center" vertical="center"/>
    </xf>
    <xf numFmtId="164" fontId="3" fillId="8" borderId="37" xfId="0" quotePrefix="1" applyNumberFormat="1" applyFont="1" applyFill="1" applyBorder="1" applyAlignment="1">
      <alignment horizontal="center" vertical="center"/>
    </xf>
    <xf numFmtId="0" fontId="3" fillId="3" borderId="40" xfId="0" quotePrefix="1" applyFont="1" applyFill="1" applyBorder="1" applyAlignment="1">
      <alignment horizontal="center" vertical="center"/>
    </xf>
    <xf numFmtId="42" fontId="0" fillId="15" borderId="1" xfId="0" applyNumberFormat="1" applyFill="1" applyBorder="1" applyAlignment="1">
      <alignment horizontal="center" vertical="center"/>
    </xf>
    <xf numFmtId="0" fontId="0" fillId="0" borderId="9" xfId="0" applyBorder="1" applyAlignment="1">
      <alignment horizontal="center"/>
    </xf>
    <xf numFmtId="0" fontId="3" fillId="10" borderId="59" xfId="0" applyFont="1" applyFill="1" applyBorder="1" applyAlignment="1">
      <alignment horizontal="center"/>
    </xf>
    <xf numFmtId="0" fontId="3" fillId="10" borderId="63" xfId="0" applyFont="1" applyFill="1" applyBorder="1" applyAlignment="1">
      <alignment horizontal="center"/>
    </xf>
    <xf numFmtId="42" fontId="0" fillId="10" borderId="15" xfId="0" applyNumberFormat="1" applyFill="1" applyBorder="1"/>
    <xf numFmtId="42" fontId="0" fillId="15" borderId="11" xfId="0" applyNumberFormat="1" applyFill="1" applyBorder="1" applyAlignment="1">
      <alignment horizontal="center" vertical="center"/>
    </xf>
    <xf numFmtId="42" fontId="0" fillId="15" borderId="20" xfId="0" applyNumberFormat="1" applyFill="1" applyBorder="1" applyAlignment="1">
      <alignment horizontal="center" vertical="center"/>
    </xf>
    <xf numFmtId="42" fontId="0" fillId="15" borderId="38" xfId="0" applyNumberFormat="1" applyFill="1" applyBorder="1" applyAlignment="1">
      <alignment horizontal="center" vertical="center"/>
    </xf>
    <xf numFmtId="0" fontId="9" fillId="15" borderId="45" xfId="0" applyFont="1" applyFill="1" applyBorder="1" applyAlignment="1">
      <alignment vertical="center"/>
    </xf>
    <xf numFmtId="42" fontId="0" fillId="15" borderId="37" xfId="0" applyNumberFormat="1" applyFill="1" applyBorder="1" applyAlignment="1">
      <alignment horizontal="center" vertical="center"/>
    </xf>
    <xf numFmtId="0" fontId="9" fillId="15" borderId="46" xfId="0" applyFont="1" applyFill="1" applyBorder="1" applyAlignment="1">
      <alignment vertical="center"/>
    </xf>
    <xf numFmtId="0" fontId="9" fillId="15" borderId="47" xfId="0" applyFont="1" applyFill="1" applyBorder="1" applyAlignment="1">
      <alignment vertical="center"/>
    </xf>
    <xf numFmtId="0" fontId="9" fillId="15" borderId="31" xfId="0" applyFont="1" applyFill="1" applyBorder="1" applyAlignment="1">
      <alignment vertical="center"/>
    </xf>
    <xf numFmtId="0" fontId="9" fillId="15" borderId="58" xfId="0" applyFont="1" applyFill="1" applyBorder="1" applyAlignment="1">
      <alignment vertical="center"/>
    </xf>
    <xf numFmtId="0" fontId="9" fillId="15" borderId="32" xfId="0" applyFont="1" applyFill="1" applyBorder="1" applyAlignment="1">
      <alignment vertical="center"/>
    </xf>
    <xf numFmtId="42" fontId="0" fillId="15" borderId="39" xfId="0" applyNumberFormat="1" applyFill="1" applyBorder="1" applyAlignment="1">
      <alignment horizontal="center" vertical="center"/>
    </xf>
    <xf numFmtId="0" fontId="9" fillId="15" borderId="71" xfId="0" applyFont="1" applyFill="1" applyBorder="1" applyAlignment="1">
      <alignment vertical="center"/>
    </xf>
    <xf numFmtId="0" fontId="3" fillId="21" borderId="36" xfId="0" applyFont="1" applyFill="1" applyBorder="1" applyAlignment="1">
      <alignment horizontal="right" vertical="center"/>
    </xf>
    <xf numFmtId="167" fontId="3" fillId="21" borderId="5" xfId="0" applyNumberFormat="1" applyFont="1" applyFill="1" applyBorder="1" applyAlignment="1">
      <alignment horizontal="center" vertical="center"/>
    </xf>
    <xf numFmtId="44" fontId="3" fillId="15" borderId="26" xfId="0" applyNumberFormat="1" applyFont="1" applyFill="1" applyBorder="1" applyAlignment="1">
      <alignment vertical="center"/>
    </xf>
    <xf numFmtId="44" fontId="3" fillId="12" borderId="15" xfId="0" applyNumberFormat="1" applyFont="1" applyFill="1" applyBorder="1" applyAlignment="1">
      <alignment horizontal="center" vertical="center"/>
    </xf>
    <xf numFmtId="44" fontId="3" fillId="12" borderId="10" xfId="0" applyNumberFormat="1" applyFont="1" applyFill="1" applyBorder="1" applyAlignment="1">
      <alignment horizontal="center" vertical="center"/>
    </xf>
    <xf numFmtId="44" fontId="3" fillId="3" borderId="8" xfId="0" applyNumberFormat="1" applyFont="1" applyFill="1" applyBorder="1" applyAlignment="1">
      <alignment horizontal="center" vertical="center"/>
    </xf>
    <xf numFmtId="44" fontId="3" fillId="3" borderId="26" xfId="0" applyNumberFormat="1" applyFont="1" applyFill="1" applyBorder="1" applyAlignment="1">
      <alignment horizontal="center" vertical="center"/>
    </xf>
    <xf numFmtId="173" fontId="3" fillId="12" borderId="53" xfId="0" applyNumberFormat="1" applyFont="1" applyFill="1" applyBorder="1" applyAlignment="1">
      <alignment horizontal="center" vertical="center"/>
    </xf>
    <xf numFmtId="173" fontId="3" fillId="12" borderId="54" xfId="0" applyNumberFormat="1" applyFont="1" applyFill="1" applyBorder="1" applyAlignment="1">
      <alignment horizontal="center" vertical="center"/>
    </xf>
    <xf numFmtId="173" fontId="3" fillId="12" borderId="57" xfId="0" applyNumberFormat="1" applyFont="1" applyFill="1" applyBorder="1" applyAlignment="1">
      <alignment horizontal="center" vertical="center"/>
    </xf>
    <xf numFmtId="0" fontId="3" fillId="12" borderId="24" xfId="0" applyFont="1" applyFill="1" applyBorder="1" applyAlignment="1">
      <alignment horizontal="center" vertical="center"/>
    </xf>
    <xf numFmtId="0" fontId="3" fillId="2" borderId="3" xfId="0" applyFont="1" applyFill="1" applyBorder="1"/>
    <xf numFmtId="0" fontId="3" fillId="2" borderId="48" xfId="0" applyFont="1" applyFill="1" applyBorder="1" applyAlignment="1">
      <alignment horizontal="center"/>
    </xf>
    <xf numFmtId="1" fontId="3" fillId="15" borderId="3" xfId="0" applyNumberFormat="1" applyFont="1" applyFill="1" applyBorder="1" applyAlignment="1">
      <alignment horizontal="center"/>
    </xf>
    <xf numFmtId="0" fontId="0" fillId="0" borderId="0" xfId="0" applyAlignment="1">
      <alignment horizontal="center"/>
    </xf>
    <xf numFmtId="0" fontId="0" fillId="0" borderId="34" xfId="0" applyBorder="1" applyAlignment="1">
      <alignment horizontal="center"/>
    </xf>
    <xf numFmtId="0" fontId="0" fillId="0" borderId="35" xfId="0" applyBorder="1" applyAlignment="1">
      <alignment horizontal="center"/>
    </xf>
    <xf numFmtId="0" fontId="0" fillId="0" borderId="43" xfId="0" applyBorder="1" applyAlignment="1">
      <alignment horizontal="center"/>
    </xf>
    <xf numFmtId="0" fontId="3" fillId="2" borderId="36" xfId="0" applyFont="1" applyFill="1" applyBorder="1" applyAlignment="1">
      <alignment horizontal="center"/>
    </xf>
    <xf numFmtId="0" fontId="3" fillId="2" borderId="4" xfId="0" applyFont="1" applyFill="1" applyBorder="1"/>
    <xf numFmtId="0" fontId="3" fillId="2" borderId="4" xfId="0" applyFont="1" applyFill="1" applyBorder="1" applyAlignment="1">
      <alignment horizontal="center"/>
    </xf>
    <xf numFmtId="0" fontId="3" fillId="2" borderId="5" xfId="0" applyFont="1" applyFill="1" applyBorder="1"/>
    <xf numFmtId="0" fontId="3" fillId="2" borderId="5" xfId="0" applyFont="1" applyFill="1" applyBorder="1" applyAlignment="1">
      <alignment horizontal="center"/>
    </xf>
    <xf numFmtId="44" fontId="0" fillId="15" borderId="17" xfId="0" applyNumberFormat="1" applyFill="1" applyBorder="1"/>
    <xf numFmtId="175" fontId="0" fillId="15" borderId="18" xfId="0" applyNumberFormat="1" applyFill="1" applyBorder="1" applyAlignment="1">
      <alignment horizontal="center"/>
    </xf>
    <xf numFmtId="44" fontId="0" fillId="15" borderId="20" xfId="0" applyNumberFormat="1" applyFill="1" applyBorder="1"/>
    <xf numFmtId="175" fontId="0" fillId="15" borderId="21" xfId="0" applyNumberFormat="1" applyFill="1" applyBorder="1" applyAlignment="1">
      <alignment horizontal="center"/>
    </xf>
    <xf numFmtId="175" fontId="0" fillId="15" borderId="17" xfId="0" applyNumberFormat="1" applyFill="1" applyBorder="1" applyAlignment="1">
      <alignment horizontal="center"/>
    </xf>
    <xf numFmtId="0" fontId="0" fillId="15" borderId="18" xfId="0" applyFill="1" applyBorder="1"/>
    <xf numFmtId="175" fontId="0" fillId="15" borderId="1" xfId="0" applyNumberFormat="1" applyFill="1" applyBorder="1" applyAlignment="1">
      <alignment horizontal="center"/>
    </xf>
    <xf numFmtId="0" fontId="0" fillId="15" borderId="13" xfId="0" applyFill="1" applyBorder="1"/>
    <xf numFmtId="175" fontId="0" fillId="15" borderId="20" xfId="0" applyNumberFormat="1" applyFill="1" applyBorder="1" applyAlignment="1">
      <alignment horizontal="center"/>
    </xf>
    <xf numFmtId="0" fontId="0" fillId="15" borderId="21" xfId="0" applyFill="1" applyBorder="1"/>
    <xf numFmtId="42" fontId="3" fillId="2" borderId="5" xfId="0" applyNumberFormat="1" applyFont="1" applyFill="1" applyBorder="1" applyAlignment="1">
      <alignment horizontal="center"/>
    </xf>
    <xf numFmtId="44" fontId="3" fillId="2" borderId="4" xfId="0" applyNumberFormat="1" applyFont="1" applyFill="1" applyBorder="1" applyAlignment="1">
      <alignment horizontal="center" vertical="center"/>
    </xf>
    <xf numFmtId="44" fontId="3" fillId="3" borderId="28" xfId="0" applyNumberFormat="1" applyFont="1" applyFill="1" applyBorder="1" applyAlignment="1">
      <alignment vertical="center"/>
    </xf>
    <xf numFmtId="6" fontId="11" fillId="3" borderId="3" xfId="1" applyNumberFormat="1" applyFont="1" applyFill="1" applyBorder="1" applyAlignment="1">
      <alignment horizontal="center" vertical="top"/>
    </xf>
    <xf numFmtId="6" fontId="11" fillId="3" borderId="51" xfId="1" applyNumberFormat="1" applyFont="1" applyFill="1" applyBorder="1" applyAlignment="1">
      <alignment horizontal="center" vertical="top"/>
    </xf>
    <xf numFmtId="6" fontId="24" fillId="0" borderId="0" xfId="1" applyNumberFormat="1" applyFont="1" applyAlignment="1">
      <alignment horizontal="center" vertical="top"/>
    </xf>
    <xf numFmtId="0" fontId="3" fillId="2" borderId="40" xfId="0" applyFont="1" applyFill="1" applyBorder="1" applyAlignment="1">
      <alignment horizontal="center" vertical="center"/>
    </xf>
    <xf numFmtId="0" fontId="0" fillId="14" borderId="59" xfId="0" applyFill="1" applyBorder="1" applyAlignment="1">
      <alignment horizontal="center"/>
    </xf>
    <xf numFmtId="42" fontId="0" fillId="15" borderId="13" xfId="0" applyNumberFormat="1" applyFill="1" applyBorder="1" applyAlignment="1">
      <alignment horizontal="center"/>
    </xf>
    <xf numFmtId="44" fontId="3" fillId="0" borderId="56" xfId="0" applyNumberFormat="1" applyFont="1" applyBorder="1" applyAlignment="1">
      <alignment horizontal="center" vertical="center"/>
    </xf>
    <xf numFmtId="42" fontId="9" fillId="3" borderId="3" xfId="0" applyNumberFormat="1" applyFont="1" applyFill="1" applyBorder="1"/>
    <xf numFmtId="0" fontId="3" fillId="2" borderId="60" xfId="0" applyFont="1" applyFill="1" applyBorder="1" applyAlignment="1">
      <alignment horizontal="center"/>
    </xf>
    <xf numFmtId="0" fontId="3" fillId="0" borderId="0" xfId="0" applyFont="1" applyAlignment="1">
      <alignment horizontal="right" vertical="center" wrapText="1"/>
    </xf>
    <xf numFmtId="44" fontId="3" fillId="12" borderId="10" xfId="0" applyNumberFormat="1" applyFont="1" applyFill="1" applyBorder="1" applyAlignment="1">
      <alignment vertical="center"/>
    </xf>
    <xf numFmtId="44" fontId="3" fillId="3" borderId="19" xfId="0" applyNumberFormat="1" applyFont="1" applyFill="1" applyBorder="1" applyAlignment="1">
      <alignment vertical="center"/>
    </xf>
    <xf numFmtId="0" fontId="9" fillId="15" borderId="1" xfId="0" applyFont="1" applyFill="1" applyBorder="1" applyAlignment="1">
      <alignment horizontal="left" vertical="center" wrapText="1"/>
    </xf>
    <xf numFmtId="0" fontId="0" fillId="0" borderId="54" xfId="0" applyBorder="1" applyAlignment="1">
      <alignment horizontal="center" vertical="center"/>
    </xf>
    <xf numFmtId="0" fontId="0" fillId="0" borderId="53" xfId="0" applyBorder="1" applyAlignment="1">
      <alignment horizontal="center" vertical="center"/>
    </xf>
    <xf numFmtId="0" fontId="0" fillId="0" borderId="1" xfId="0" applyBorder="1"/>
    <xf numFmtId="0" fontId="0" fillId="0" borderId="20" xfId="0" applyBorder="1"/>
    <xf numFmtId="175" fontId="0" fillId="0" borderId="0" xfId="0" applyNumberFormat="1" applyAlignment="1">
      <alignment horizontal="center"/>
    </xf>
    <xf numFmtId="175" fontId="3" fillId="2" borderId="36" xfId="0" applyNumberFormat="1" applyFont="1" applyFill="1" applyBorder="1" applyAlignment="1">
      <alignment horizontal="center"/>
    </xf>
    <xf numFmtId="175" fontId="0" fillId="0" borderId="34" xfId="0" applyNumberFormat="1" applyBorder="1" applyAlignment="1">
      <alignment horizontal="center"/>
    </xf>
    <xf numFmtId="175" fontId="0" fillId="0" borderId="35" xfId="0" applyNumberFormat="1" applyBorder="1" applyAlignment="1">
      <alignment horizontal="center"/>
    </xf>
    <xf numFmtId="175" fontId="0" fillId="20" borderId="19" xfId="0" applyNumberFormat="1" applyFill="1" applyBorder="1" applyAlignment="1">
      <alignment horizontal="center"/>
    </xf>
    <xf numFmtId="0" fontId="0" fillId="20" borderId="28" xfId="0" applyFill="1" applyBorder="1"/>
    <xf numFmtId="0" fontId="37" fillId="20" borderId="48" xfId="0" applyFont="1" applyFill="1" applyBorder="1"/>
    <xf numFmtId="175" fontId="2" fillId="20" borderId="28" xfId="0" applyNumberFormat="1" applyFont="1" applyFill="1" applyBorder="1" applyAlignment="1">
      <alignment horizontal="center"/>
    </xf>
    <xf numFmtId="175" fontId="37" fillId="20" borderId="48" xfId="0" applyNumberFormat="1" applyFont="1" applyFill="1" applyBorder="1" applyAlignment="1">
      <alignment horizontal="left"/>
    </xf>
    <xf numFmtId="0" fontId="3" fillId="0" borderId="1" xfId="0" quotePrefix="1" applyFont="1" applyBorder="1" applyAlignment="1">
      <alignment horizontal="center" vertical="center"/>
    </xf>
    <xf numFmtId="0" fontId="3" fillId="2" borderId="70" xfId="0" applyFont="1" applyFill="1" applyBorder="1" applyAlignment="1">
      <alignment vertical="center" wrapText="1"/>
    </xf>
    <xf numFmtId="0" fontId="9" fillId="22" borderId="20" xfId="0" applyFont="1" applyFill="1" applyBorder="1" applyAlignment="1">
      <alignment vertical="center" wrapText="1"/>
    </xf>
    <xf numFmtId="0" fontId="3" fillId="11" borderId="40" xfId="0" applyFont="1" applyFill="1" applyBorder="1" applyAlignment="1">
      <alignment horizontal="center" vertical="center"/>
    </xf>
    <xf numFmtId="0" fontId="3" fillId="0" borderId="1" xfId="0" applyFont="1" applyBorder="1" applyAlignment="1">
      <alignment horizontal="right" vertical="center" wrapText="1"/>
    </xf>
    <xf numFmtId="0" fontId="3" fillId="15" borderId="1" xfId="0" quotePrefix="1" applyFont="1" applyFill="1" applyBorder="1" applyAlignment="1">
      <alignment horizontal="center" vertical="center"/>
    </xf>
    <xf numFmtId="0" fontId="3" fillId="14" borderId="1" xfId="0" applyFont="1" applyFill="1" applyBorder="1" applyAlignment="1">
      <alignment horizontal="center" vertical="center"/>
    </xf>
    <xf numFmtId="42" fontId="3" fillId="14" borderId="1" xfId="0" applyNumberFormat="1" applyFont="1" applyFill="1" applyBorder="1" applyAlignment="1">
      <alignment horizontal="center" vertical="center"/>
    </xf>
    <xf numFmtId="0" fontId="41" fillId="14" borderId="1" xfId="0" applyFont="1" applyFill="1" applyBorder="1" applyAlignment="1">
      <alignment horizontal="right" vertical="center" wrapText="1"/>
    </xf>
    <xf numFmtId="0" fontId="3" fillId="15" borderId="1" xfId="0" applyFont="1" applyFill="1" applyBorder="1" applyAlignment="1">
      <alignment horizontal="right" vertical="center" wrapText="1"/>
    </xf>
    <xf numFmtId="0" fontId="2" fillId="0" borderId="1" xfId="0" applyFont="1" applyBorder="1" applyAlignment="1">
      <alignment horizontal="right" vertical="center" wrapText="1"/>
    </xf>
    <xf numFmtId="42" fontId="3" fillId="15" borderId="1" xfId="0" applyNumberFormat="1" applyFont="1" applyFill="1" applyBorder="1" applyAlignment="1">
      <alignment horizontal="right" vertical="center"/>
    </xf>
    <xf numFmtId="0" fontId="3" fillId="0" borderId="17" xfId="0" applyFont="1" applyBorder="1" applyAlignment="1">
      <alignment horizontal="center" vertical="center"/>
    </xf>
    <xf numFmtId="42" fontId="3" fillId="0" borderId="17" xfId="0" applyNumberFormat="1" applyFont="1" applyBorder="1" applyAlignment="1">
      <alignment horizontal="center" vertical="center"/>
    </xf>
    <xf numFmtId="44" fontId="3" fillId="0" borderId="0" xfId="0" applyNumberFormat="1" applyFont="1" applyAlignment="1">
      <alignment horizontal="center" vertical="center"/>
    </xf>
    <xf numFmtId="0" fontId="3" fillId="12" borderId="8" xfId="0" applyFont="1" applyFill="1" applyBorder="1" applyAlignment="1">
      <alignment horizontal="center" vertical="center"/>
    </xf>
    <xf numFmtId="42" fontId="3" fillId="15" borderId="8" xfId="0" applyNumberFormat="1" applyFont="1" applyFill="1" applyBorder="1" applyAlignment="1">
      <alignment horizontal="center" vertical="center"/>
    </xf>
    <xf numFmtId="42" fontId="3" fillId="15" borderId="9" xfId="0" applyNumberFormat="1" applyFont="1" applyFill="1" applyBorder="1" applyAlignment="1">
      <alignment horizontal="center" vertical="center"/>
    </xf>
    <xf numFmtId="42" fontId="3" fillId="12" borderId="9" xfId="0" applyNumberFormat="1" applyFont="1" applyFill="1" applyBorder="1" applyAlignment="1">
      <alignment horizontal="center" vertical="center"/>
    </xf>
    <xf numFmtId="42" fontId="3" fillId="15" borderId="26" xfId="0" applyNumberFormat="1" applyFont="1" applyFill="1" applyBorder="1" applyAlignment="1">
      <alignment horizontal="center" vertical="center"/>
    </xf>
    <xf numFmtId="0" fontId="2" fillId="0" borderId="0" xfId="0" applyFont="1" applyAlignment="1">
      <alignment vertical="top" wrapText="1"/>
    </xf>
    <xf numFmtId="0" fontId="3" fillId="2" borderId="61" xfId="0" applyFont="1" applyFill="1" applyBorder="1" applyAlignment="1">
      <alignment vertical="center" wrapText="1"/>
    </xf>
    <xf numFmtId="44" fontId="3" fillId="2" borderId="66" xfId="0" applyNumberFormat="1" applyFont="1" applyFill="1" applyBorder="1" applyAlignment="1">
      <alignment vertical="center"/>
    </xf>
    <xf numFmtId="0" fontId="3" fillId="12" borderId="26" xfId="0" applyFont="1" applyFill="1" applyBorder="1" applyAlignment="1">
      <alignment horizontal="center" vertical="center"/>
    </xf>
    <xf numFmtId="0" fontId="15" fillId="2" borderId="36" xfId="0" applyFont="1" applyFill="1" applyBorder="1" applyAlignment="1">
      <alignment horizontal="left" vertical="center" wrapText="1" indent="1"/>
    </xf>
    <xf numFmtId="0" fontId="8" fillId="15" borderId="17" xfId="0" applyFont="1" applyFill="1" applyBorder="1" applyAlignment="1">
      <alignment vertical="center" wrapText="1"/>
    </xf>
    <xf numFmtId="0" fontId="0" fillId="15" borderId="1" xfId="0" applyFill="1" applyBorder="1" applyAlignment="1">
      <alignment horizontal="left" vertical="center"/>
    </xf>
    <xf numFmtId="0" fontId="3" fillId="3" borderId="4" xfId="0" applyFont="1" applyFill="1" applyBorder="1" applyAlignment="1">
      <alignment horizontal="right" vertical="center" wrapText="1"/>
    </xf>
    <xf numFmtId="0" fontId="0" fillId="0" borderId="25" xfId="0" applyBorder="1" applyAlignment="1">
      <alignment vertical="center" wrapText="1"/>
    </xf>
    <xf numFmtId="10" fontId="3" fillId="3" borderId="3" xfId="0" applyNumberFormat="1" applyFont="1" applyFill="1" applyBorder="1" applyAlignment="1">
      <alignment horizontal="center" vertical="center"/>
    </xf>
    <xf numFmtId="167" fontId="3" fillId="2" borderId="49" xfId="0" applyNumberFormat="1" applyFont="1" applyFill="1" applyBorder="1" applyAlignment="1">
      <alignment horizontal="center" vertical="center"/>
    </xf>
    <xf numFmtId="0" fontId="0" fillId="0" borderId="1" xfId="0" applyBorder="1" applyAlignment="1">
      <alignment horizontal="right" vertical="center"/>
    </xf>
    <xf numFmtId="42" fontId="3" fillId="15" borderId="6" xfId="0" applyNumberFormat="1" applyFont="1" applyFill="1" applyBorder="1" applyAlignment="1">
      <alignment horizontal="center" vertical="center"/>
    </xf>
    <xf numFmtId="42" fontId="3" fillId="0" borderId="1" xfId="0" applyNumberFormat="1" applyFont="1" applyBorder="1" applyAlignment="1">
      <alignment horizontal="center" vertical="center" wrapText="1"/>
    </xf>
    <xf numFmtId="0" fontId="9" fillId="0" borderId="20" xfId="0" applyFont="1" applyBorder="1" applyAlignment="1">
      <alignment vertical="center" wrapText="1"/>
    </xf>
    <xf numFmtId="44" fontId="0" fillId="15" borderId="9" xfId="0" applyNumberFormat="1" applyFill="1" applyBorder="1" applyAlignment="1">
      <alignment horizontal="center" vertical="center"/>
    </xf>
    <xf numFmtId="44" fontId="0" fillId="15" borderId="10" xfId="0" applyNumberFormat="1" applyFill="1" applyBorder="1" applyAlignment="1">
      <alignment horizontal="center" vertical="center"/>
    </xf>
    <xf numFmtId="0" fontId="0" fillId="0" borderId="14" xfId="0" applyBorder="1" applyAlignment="1">
      <alignment horizontal="center" vertical="center"/>
    </xf>
    <xf numFmtId="44" fontId="0" fillId="15" borderId="15" xfId="0" applyNumberFormat="1" applyFill="1" applyBorder="1" applyAlignment="1">
      <alignment horizontal="center" vertical="center"/>
    </xf>
    <xf numFmtId="0" fontId="48" fillId="0" borderId="0" xfId="2" applyFont="1" applyAlignment="1">
      <alignment vertical="center"/>
    </xf>
    <xf numFmtId="0" fontId="0" fillId="0" borderId="55" xfId="0" applyBorder="1" applyAlignment="1">
      <alignment horizontal="center" vertical="center"/>
    </xf>
    <xf numFmtId="0" fontId="3" fillId="2" borderId="0" xfId="0" applyFont="1" applyFill="1" applyAlignment="1">
      <alignment vertical="center" wrapText="1"/>
    </xf>
    <xf numFmtId="0" fontId="3" fillId="0" borderId="0" xfId="0" applyFont="1" applyAlignment="1">
      <alignment horizontal="right" vertical="center"/>
    </xf>
    <xf numFmtId="44" fontId="3" fillId="3" borderId="28" xfId="0" applyNumberFormat="1" applyFont="1" applyFill="1" applyBorder="1" applyAlignment="1">
      <alignment horizontal="center" vertical="center"/>
    </xf>
    <xf numFmtId="0" fontId="2" fillId="0" borderId="0" xfId="0" applyFont="1" applyAlignment="1">
      <alignment horizontal="left" vertical="center"/>
    </xf>
    <xf numFmtId="42" fontId="0" fillId="0" borderId="0" xfId="0" applyNumberFormat="1" applyAlignment="1">
      <alignment vertical="center"/>
    </xf>
    <xf numFmtId="0" fontId="3" fillId="12" borderId="56" xfId="0" applyFont="1" applyFill="1" applyBorder="1" applyAlignment="1">
      <alignment horizontal="center" vertical="center"/>
    </xf>
    <xf numFmtId="0" fontId="3" fillId="12" borderId="57" xfId="0" applyFont="1" applyFill="1" applyBorder="1" applyAlignment="1">
      <alignment horizontal="center" vertical="center"/>
    </xf>
    <xf numFmtId="0" fontId="0" fillId="0" borderId="15" xfId="0" applyBorder="1" applyAlignment="1">
      <alignment vertical="center"/>
    </xf>
    <xf numFmtId="0" fontId="0" fillId="0" borderId="26" xfId="0" applyBorder="1" applyAlignment="1">
      <alignment horizontal="left" vertical="center"/>
    </xf>
    <xf numFmtId="0" fontId="0" fillId="0" borderId="15" xfId="0" applyBorder="1" applyAlignment="1">
      <alignment horizontal="left" vertical="center"/>
    </xf>
    <xf numFmtId="1" fontId="3" fillId="12" borderId="71" xfId="0" applyNumberFormat="1" applyFont="1" applyFill="1" applyBorder="1" applyAlignment="1">
      <alignment horizontal="center" vertical="center"/>
    </xf>
    <xf numFmtId="42" fontId="3" fillId="12" borderId="47" xfId="0" applyNumberFormat="1" applyFont="1" applyFill="1" applyBorder="1" applyAlignment="1">
      <alignment horizontal="center" vertical="center"/>
    </xf>
    <xf numFmtId="0" fontId="0" fillId="0" borderId="37" xfId="0" applyBorder="1" applyAlignment="1">
      <alignment vertical="center" wrapText="1"/>
    </xf>
    <xf numFmtId="10" fontId="3" fillId="12" borderId="9" xfId="0" applyNumberFormat="1" applyFont="1" applyFill="1" applyBorder="1" applyAlignment="1">
      <alignment horizontal="center" vertical="center"/>
    </xf>
    <xf numFmtId="0" fontId="0" fillId="0" borderId="42" xfId="0" applyBorder="1" applyAlignment="1">
      <alignment vertical="center" wrapText="1"/>
    </xf>
    <xf numFmtId="10" fontId="3" fillId="12" borderId="10" xfId="0" applyNumberFormat="1" applyFont="1" applyFill="1" applyBorder="1" applyAlignment="1">
      <alignment horizontal="center" vertical="center"/>
    </xf>
    <xf numFmtId="0" fontId="0" fillId="0" borderId="41" xfId="0" applyBorder="1" applyAlignment="1">
      <alignment vertical="center" wrapText="1"/>
    </xf>
    <xf numFmtId="0" fontId="58" fillId="0" borderId="0" xfId="0" applyFont="1" applyAlignment="1">
      <alignment horizontal="left" vertical="center"/>
    </xf>
    <xf numFmtId="44" fontId="44" fillId="17" borderId="0" xfId="0" applyNumberFormat="1" applyFont="1" applyFill="1" applyAlignment="1">
      <alignment vertical="center"/>
    </xf>
    <xf numFmtId="0" fontId="2" fillId="0" borderId="0" xfId="0" applyFont="1" applyAlignment="1">
      <alignment horizontal="left" vertical="center" wrapText="1"/>
    </xf>
    <xf numFmtId="0" fontId="0" fillId="0" borderId="45" xfId="0" applyBorder="1" applyAlignment="1">
      <alignment horizontal="left" vertical="center" wrapText="1"/>
    </xf>
    <xf numFmtId="0" fontId="0" fillId="0" borderId="47" xfId="0" applyBorder="1" applyAlignment="1">
      <alignment horizontal="left" vertical="center" wrapText="1"/>
    </xf>
    <xf numFmtId="0" fontId="0" fillId="0" borderId="24" xfId="0" applyBorder="1" applyAlignment="1">
      <alignment horizontal="center" vertical="center"/>
    </xf>
    <xf numFmtId="44" fontId="3" fillId="12" borderId="47" xfId="0" applyNumberFormat="1" applyFont="1" applyFill="1" applyBorder="1" applyAlignment="1">
      <alignment vertical="center"/>
    </xf>
    <xf numFmtId="0" fontId="3" fillId="2" borderId="48" xfId="0" applyFont="1" applyFill="1" applyBorder="1" applyAlignment="1">
      <alignment vertical="center"/>
    </xf>
    <xf numFmtId="42" fontId="3" fillId="3" borderId="24" xfId="0" applyNumberFormat="1" applyFont="1" applyFill="1" applyBorder="1" applyAlignment="1">
      <alignment horizontal="center" vertical="center"/>
    </xf>
    <xf numFmtId="41" fontId="3" fillId="3" borderId="3" xfId="0" applyNumberFormat="1" applyFont="1" applyFill="1" applyBorder="1" applyAlignment="1">
      <alignment horizontal="center" vertical="center"/>
    </xf>
    <xf numFmtId="0" fontId="11" fillId="2" borderId="3" xfId="0" applyFont="1" applyFill="1" applyBorder="1" applyAlignment="1">
      <alignment horizontal="left" vertical="center"/>
    </xf>
    <xf numFmtId="41" fontId="0" fillId="15" borderId="8" xfId="0" applyNumberFormat="1" applyFill="1" applyBorder="1" applyAlignment="1">
      <alignment horizontal="center" vertical="center"/>
    </xf>
    <xf numFmtId="41" fontId="0" fillId="15" borderId="9" xfId="0" applyNumberFormat="1" applyFill="1" applyBorder="1" applyAlignment="1">
      <alignment horizontal="center" vertical="center"/>
    </xf>
    <xf numFmtId="41" fontId="0" fillId="15" borderId="26" xfId="0" applyNumberFormat="1" applyFill="1" applyBorder="1" applyAlignment="1">
      <alignment horizontal="center" vertical="center"/>
    </xf>
    <xf numFmtId="0" fontId="34" fillId="0" borderId="1" xfId="0" applyFont="1" applyBorder="1" applyAlignment="1">
      <alignment horizontal="right" vertical="center" wrapText="1"/>
    </xf>
    <xf numFmtId="0" fontId="8" fillId="15" borderId="1" xfId="0" applyFont="1" applyFill="1" applyBorder="1" applyAlignment="1">
      <alignment vertical="center" wrapText="1"/>
    </xf>
    <xf numFmtId="0" fontId="3" fillId="14" borderId="34" xfId="0" applyFont="1" applyFill="1" applyBorder="1" applyAlignment="1">
      <alignment horizontal="center" vertical="center"/>
    </xf>
    <xf numFmtId="0" fontId="0" fillId="0" borderId="20" xfId="0" applyBorder="1" applyAlignment="1">
      <alignment horizontal="right" vertical="center" wrapText="1"/>
    </xf>
    <xf numFmtId="0" fontId="3" fillId="0" borderId="20" xfId="0" applyFont="1" applyBorder="1" applyAlignment="1">
      <alignment horizontal="center" vertical="center"/>
    </xf>
    <xf numFmtId="42" fontId="3" fillId="0" borderId="20" xfId="0" applyNumberFormat="1" applyFont="1" applyBorder="1" applyAlignment="1">
      <alignment horizontal="center" vertical="center"/>
    </xf>
    <xf numFmtId="0" fontId="34" fillId="0" borderId="37" xfId="0" quotePrefix="1" applyFont="1" applyBorder="1" applyAlignment="1">
      <alignment horizontal="center" vertical="center"/>
    </xf>
    <xf numFmtId="42" fontId="3" fillId="0" borderId="37" xfId="0" applyNumberFormat="1" applyFont="1" applyBorder="1" applyAlignment="1">
      <alignment horizontal="center" vertical="center"/>
    </xf>
    <xf numFmtId="0" fontId="2" fillId="0" borderId="37" xfId="0" applyFont="1" applyBorder="1" applyAlignment="1">
      <alignment horizontal="center" vertical="center"/>
    </xf>
    <xf numFmtId="42" fontId="3" fillId="14" borderId="34" xfId="0" applyNumberFormat="1" applyFont="1" applyFill="1" applyBorder="1" applyAlignment="1">
      <alignment horizontal="center" vertical="center"/>
    </xf>
    <xf numFmtId="42" fontId="3" fillId="0" borderId="34" xfId="0" applyNumberFormat="1" applyFont="1" applyBorder="1" applyAlignment="1">
      <alignment horizontal="center" vertical="center"/>
    </xf>
    <xf numFmtId="42" fontId="3" fillId="0" borderId="13" xfId="0" applyNumberFormat="1" applyFont="1" applyBorder="1" applyAlignment="1">
      <alignment horizontal="center" vertical="center"/>
    </xf>
    <xf numFmtId="42" fontId="3" fillId="14" borderId="13" xfId="0" applyNumberFormat="1" applyFont="1" applyFill="1" applyBorder="1" applyAlignment="1">
      <alignment horizontal="center" vertical="center"/>
    </xf>
    <xf numFmtId="42" fontId="3" fillId="14" borderId="37" xfId="0" applyNumberFormat="1" applyFont="1" applyFill="1" applyBorder="1" applyAlignment="1">
      <alignment horizontal="center" vertical="center"/>
    </xf>
    <xf numFmtId="42" fontId="3" fillId="15" borderId="37" xfId="0" applyNumberFormat="1" applyFont="1" applyFill="1" applyBorder="1" applyAlignment="1">
      <alignment horizontal="center" vertical="center"/>
    </xf>
    <xf numFmtId="42" fontId="3" fillId="15" borderId="37" xfId="0" applyNumberFormat="1" applyFont="1" applyFill="1" applyBorder="1" applyAlignment="1">
      <alignment horizontal="center" vertical="center" wrapText="1"/>
    </xf>
    <xf numFmtId="42" fontId="3" fillId="0" borderId="39" xfId="0" applyNumberFormat="1" applyFont="1" applyBorder="1" applyAlignment="1">
      <alignment horizontal="center" vertical="center"/>
    </xf>
    <xf numFmtId="0" fontId="9" fillId="0" borderId="58" xfId="0" applyFont="1" applyBorder="1" applyAlignment="1">
      <alignment horizontal="left" vertical="center" wrapText="1"/>
    </xf>
    <xf numFmtId="0" fontId="0" fillId="0" borderId="58" xfId="0" applyBorder="1" applyAlignment="1">
      <alignment horizontal="left" vertical="center"/>
    </xf>
    <xf numFmtId="0" fontId="9" fillId="14" borderId="58" xfId="0" applyFont="1" applyFill="1" applyBorder="1" applyAlignment="1">
      <alignment horizontal="left" vertical="center" wrapText="1"/>
    </xf>
    <xf numFmtId="0" fontId="9" fillId="0" borderId="32" xfId="0" applyFont="1" applyBorder="1" applyAlignment="1">
      <alignment horizontal="left" vertical="center" wrapText="1"/>
    </xf>
    <xf numFmtId="42" fontId="3" fillId="0" borderId="35" xfId="0" applyNumberFormat="1" applyFont="1" applyBorder="1" applyAlignment="1">
      <alignment horizontal="center" vertical="center"/>
    </xf>
    <xf numFmtId="42" fontId="3" fillId="0" borderId="21" xfId="0" applyNumberFormat="1" applyFont="1" applyBorder="1" applyAlignment="1">
      <alignment horizontal="center" vertical="center"/>
    </xf>
    <xf numFmtId="0" fontId="27" fillId="2" borderId="4" xfId="0" applyFont="1" applyFill="1" applyBorder="1" applyAlignment="1">
      <alignment vertical="center" wrapText="1"/>
    </xf>
    <xf numFmtId="42" fontId="3" fillId="14" borderId="36" xfId="0" applyNumberFormat="1" applyFont="1" applyFill="1" applyBorder="1" applyAlignment="1">
      <alignment horizontal="center" vertical="center"/>
    </xf>
    <xf numFmtId="0" fontId="9" fillId="0" borderId="69" xfId="0" applyFont="1" applyBorder="1" applyAlignment="1">
      <alignment horizontal="left" vertical="center" wrapText="1"/>
    </xf>
    <xf numFmtId="42" fontId="3" fillId="0" borderId="43" xfId="0" applyNumberFormat="1" applyFont="1" applyBorder="1" applyAlignment="1">
      <alignment horizontal="center" vertical="center"/>
    </xf>
    <xf numFmtId="0" fontId="27" fillId="14" borderId="2" xfId="0" applyFont="1" applyFill="1" applyBorder="1" applyAlignment="1">
      <alignment horizontal="right" vertical="center" wrapText="1"/>
    </xf>
    <xf numFmtId="0" fontId="3" fillId="14" borderId="27" xfId="0" applyFont="1" applyFill="1" applyBorder="1" applyAlignment="1">
      <alignment horizontal="center" vertical="center"/>
    </xf>
    <xf numFmtId="0" fontId="7" fillId="6" borderId="2" xfId="0" applyFont="1" applyFill="1" applyBorder="1" applyAlignment="1">
      <alignment vertical="center" wrapText="1"/>
    </xf>
    <xf numFmtId="0" fontId="3" fillId="6" borderId="27" xfId="0" applyFont="1" applyFill="1" applyBorder="1" applyAlignment="1">
      <alignment horizontal="center" vertical="center"/>
    </xf>
    <xf numFmtId="42" fontId="3" fillId="0" borderId="64" xfId="0" applyNumberFormat="1" applyFont="1" applyBorder="1" applyAlignment="1">
      <alignment horizontal="center" vertical="center"/>
    </xf>
    <xf numFmtId="0" fontId="9" fillId="0" borderId="72" xfId="0" applyFont="1" applyBorder="1" applyAlignment="1">
      <alignment horizontal="left" vertical="center" wrapText="1"/>
    </xf>
    <xf numFmtId="0" fontId="10" fillId="0" borderId="42" xfId="0" quotePrefix="1" applyFont="1" applyBorder="1" applyAlignment="1">
      <alignment horizontal="center" vertical="center"/>
    </xf>
    <xf numFmtId="42" fontId="3" fillId="0" borderId="41" xfId="0" applyNumberFormat="1" applyFont="1" applyBorder="1" applyAlignment="1">
      <alignment horizontal="center" vertical="center"/>
    </xf>
    <xf numFmtId="42" fontId="3" fillId="0" borderId="18" xfId="0" applyNumberFormat="1" applyFont="1" applyBorder="1" applyAlignment="1">
      <alignment horizontal="center" vertical="center"/>
    </xf>
    <xf numFmtId="0" fontId="3" fillId="11" borderId="40" xfId="0" quotePrefix="1" applyFont="1" applyFill="1" applyBorder="1" applyAlignment="1">
      <alignment horizontal="center" vertical="center"/>
    </xf>
    <xf numFmtId="42" fontId="3" fillId="14" borderId="40" xfId="0" applyNumberFormat="1" applyFont="1" applyFill="1" applyBorder="1" applyAlignment="1">
      <alignment horizontal="center" vertical="center"/>
    </xf>
    <xf numFmtId="42" fontId="3" fillId="14" borderId="5" xfId="0" applyNumberFormat="1" applyFont="1" applyFill="1" applyBorder="1" applyAlignment="1">
      <alignment horizontal="center" vertical="center"/>
    </xf>
    <xf numFmtId="0" fontId="0" fillId="15" borderId="17" xfId="0" applyFill="1" applyBorder="1" applyAlignment="1">
      <alignment horizontal="left" vertical="center"/>
    </xf>
    <xf numFmtId="0" fontId="0" fillId="0" borderId="2" xfId="0" applyBorder="1" applyAlignment="1">
      <alignment horizontal="right" vertical="center" wrapText="1"/>
    </xf>
    <xf numFmtId="0" fontId="2" fillId="0" borderId="17" xfId="0" applyFont="1" applyBorder="1" applyAlignment="1">
      <alignment vertical="center" wrapText="1"/>
    </xf>
    <xf numFmtId="0" fontId="9" fillId="14" borderId="28" xfId="0" applyFont="1" applyFill="1" applyBorder="1" applyAlignment="1">
      <alignment horizontal="left" vertical="center" wrapText="1"/>
    </xf>
    <xf numFmtId="0" fontId="3" fillId="7" borderId="40" xfId="0" applyFont="1" applyFill="1" applyBorder="1" applyAlignment="1">
      <alignment horizontal="center" vertical="center"/>
    </xf>
    <xf numFmtId="0" fontId="9" fillId="15" borderId="17" xfId="0" applyFont="1" applyFill="1" applyBorder="1" applyAlignment="1">
      <alignment horizontal="right" vertical="center" wrapText="1"/>
    </xf>
    <xf numFmtId="0" fontId="9" fillId="15" borderId="6" xfId="0" applyFont="1" applyFill="1" applyBorder="1" applyAlignment="1">
      <alignment horizontal="right" vertical="center" wrapText="1"/>
    </xf>
    <xf numFmtId="0" fontId="9" fillId="0" borderId="6" xfId="0" applyFont="1" applyBorder="1" applyAlignment="1">
      <alignment vertical="center" wrapText="1"/>
    </xf>
    <xf numFmtId="0" fontId="41" fillId="15" borderId="11" xfId="0" applyFont="1" applyFill="1" applyBorder="1" applyAlignment="1">
      <alignment horizontal="right" vertical="center" wrapText="1"/>
    </xf>
    <xf numFmtId="0" fontId="11" fillId="0" borderId="39" xfId="0" applyFont="1" applyBorder="1" applyAlignment="1">
      <alignment horizontal="left" vertical="center" wrapText="1"/>
    </xf>
    <xf numFmtId="0" fontId="41" fillId="15" borderId="6" xfId="0" applyFont="1" applyFill="1" applyBorder="1" applyAlignment="1">
      <alignment horizontal="right" vertical="center" wrapText="1"/>
    </xf>
    <xf numFmtId="0" fontId="3" fillId="0" borderId="6" xfId="0" quotePrefix="1" applyFont="1" applyBorder="1" applyAlignment="1">
      <alignment horizontal="center" vertical="center"/>
    </xf>
    <xf numFmtId="42" fontId="3" fillId="0" borderId="42" xfId="0" applyNumberFormat="1" applyFont="1" applyBorder="1" applyAlignment="1">
      <alignment horizontal="center" vertical="center"/>
    </xf>
    <xf numFmtId="42" fontId="3" fillId="0" borderId="65" xfId="0" applyNumberFormat="1" applyFont="1" applyBorder="1" applyAlignment="1">
      <alignment horizontal="center" vertical="center"/>
    </xf>
    <xf numFmtId="0" fontId="3" fillId="0" borderId="17" xfId="0" applyFont="1" applyBorder="1" applyAlignment="1">
      <alignment vertical="center" wrapText="1"/>
    </xf>
    <xf numFmtId="0" fontId="3" fillId="14" borderId="4" xfId="0" quotePrefix="1" applyFont="1" applyFill="1" applyBorder="1" applyAlignment="1">
      <alignment horizontal="center" vertical="center"/>
    </xf>
    <xf numFmtId="42" fontId="3" fillId="14" borderId="4" xfId="0" applyNumberFormat="1" applyFont="1" applyFill="1" applyBorder="1" applyAlignment="1">
      <alignment horizontal="center" vertical="center"/>
    </xf>
    <xf numFmtId="0" fontId="3" fillId="0" borderId="67" xfId="0" applyFont="1" applyBorder="1" applyAlignment="1">
      <alignment horizontal="center" vertical="center"/>
    </xf>
    <xf numFmtId="42" fontId="3" fillId="3" borderId="3" xfId="0" applyNumberFormat="1" applyFont="1" applyFill="1" applyBorder="1" applyAlignment="1">
      <alignment horizontal="center" vertical="center"/>
    </xf>
    <xf numFmtId="42" fontId="14" fillId="0" borderId="33" xfId="0" applyNumberFormat="1" applyFont="1" applyBorder="1" applyAlignment="1">
      <alignment horizontal="center" vertical="center"/>
    </xf>
    <xf numFmtId="42" fontId="3" fillId="3" borderId="59" xfId="0" applyNumberFormat="1" applyFont="1" applyFill="1" applyBorder="1" applyAlignment="1">
      <alignment horizontal="center" vertical="center"/>
    </xf>
    <xf numFmtId="175" fontId="0" fillId="0" borderId="43" xfId="0" applyNumberFormat="1" applyBorder="1" applyAlignment="1">
      <alignment horizontal="center"/>
    </xf>
    <xf numFmtId="175" fontId="3" fillId="2" borderId="3" xfId="0" applyNumberFormat="1" applyFont="1" applyFill="1" applyBorder="1" applyAlignment="1">
      <alignment horizontal="center"/>
    </xf>
    <xf numFmtId="175" fontId="37" fillId="20" borderId="19" xfId="0" applyNumberFormat="1" applyFont="1" applyFill="1" applyBorder="1" applyAlignment="1">
      <alignment horizontal="left"/>
    </xf>
    <xf numFmtId="175" fontId="3" fillId="2" borderId="70" xfId="0" applyNumberFormat="1" applyFont="1" applyFill="1" applyBorder="1" applyAlignment="1">
      <alignment horizontal="center"/>
    </xf>
    <xf numFmtId="1" fontId="0" fillId="0" borderId="7" xfId="0" applyNumberFormat="1" applyBorder="1" applyAlignment="1">
      <alignment horizontal="center"/>
    </xf>
    <xf numFmtId="1" fontId="0" fillId="0" borderId="68" xfId="0" applyNumberFormat="1" applyBorder="1" applyAlignment="1">
      <alignment horizontal="center"/>
    </xf>
    <xf numFmtId="42" fontId="3" fillId="12" borderId="9" xfId="0" applyNumberFormat="1" applyFont="1" applyFill="1" applyBorder="1" applyAlignment="1">
      <alignment vertical="center"/>
    </xf>
    <xf numFmtId="0" fontId="0" fillId="0" borderId="57" xfId="0" applyBorder="1" applyAlignment="1">
      <alignment horizontal="left" vertical="center"/>
    </xf>
    <xf numFmtId="0" fontId="2" fillId="0" borderId="0" xfId="0" applyFont="1" applyAlignment="1">
      <alignment vertical="center"/>
    </xf>
    <xf numFmtId="0" fontId="0" fillId="0" borderId="10" xfId="0" applyBorder="1" applyAlignment="1">
      <alignment vertical="center"/>
    </xf>
    <xf numFmtId="0" fontId="27" fillId="19" borderId="0" xfId="0" applyFont="1" applyFill="1" applyAlignment="1">
      <alignment vertical="center" wrapText="1"/>
    </xf>
    <xf numFmtId="0" fontId="0" fillId="0" borderId="13" xfId="0" applyBorder="1"/>
    <xf numFmtId="0" fontId="3" fillId="2" borderId="40" xfId="0" applyFont="1" applyFill="1" applyBorder="1"/>
    <xf numFmtId="0" fontId="0" fillId="0" borderId="41" xfId="0" applyBorder="1"/>
    <xf numFmtId="0" fontId="0" fillId="0" borderId="37" xfId="0" applyBorder="1"/>
    <xf numFmtId="0" fontId="0" fillId="0" borderId="39" xfId="0" applyBorder="1"/>
    <xf numFmtId="175" fontId="0" fillId="0" borderId="15" xfId="0" applyNumberFormat="1" applyBorder="1" applyAlignment="1">
      <alignment horizontal="center"/>
    </xf>
    <xf numFmtId="175" fontId="0" fillId="0" borderId="9" xfId="0" applyNumberFormat="1" applyBorder="1" applyAlignment="1">
      <alignment horizontal="center"/>
    </xf>
    <xf numFmtId="175" fontId="0" fillId="0" borderId="26" xfId="0" applyNumberFormat="1" applyBorder="1" applyAlignment="1">
      <alignment horizontal="center"/>
    </xf>
    <xf numFmtId="0" fontId="0" fillId="0" borderId="48" xfId="0" applyBorder="1" applyAlignment="1">
      <alignment horizontal="center" vertical="center"/>
    </xf>
    <xf numFmtId="44" fontId="3" fillId="3" borderId="24" xfId="0" applyNumberFormat="1" applyFont="1" applyFill="1" applyBorder="1" applyAlignment="1">
      <alignment vertical="center"/>
    </xf>
    <xf numFmtId="0" fontId="27" fillId="0" borderId="0" xfId="0" applyFont="1" applyAlignment="1">
      <alignment horizontal="left" vertical="center" wrapText="1"/>
    </xf>
    <xf numFmtId="0" fontId="9" fillId="15" borderId="20" xfId="0" applyFont="1" applyFill="1" applyBorder="1" applyAlignment="1">
      <alignment horizontal="left" vertical="center" wrapText="1"/>
    </xf>
    <xf numFmtId="0" fontId="3" fillId="0" borderId="40" xfId="0" quotePrefix="1" applyFont="1" applyBorder="1" applyAlignment="1">
      <alignment horizontal="center" vertical="center"/>
    </xf>
    <xf numFmtId="42" fontId="9" fillId="3" borderId="48" xfId="0" applyNumberFormat="1" applyFont="1" applyFill="1" applyBorder="1"/>
    <xf numFmtId="42" fontId="0" fillId="15" borderId="8" xfId="0" applyNumberFormat="1" applyFill="1" applyBorder="1"/>
    <xf numFmtId="174" fontId="0" fillId="15" borderId="26" xfId="0" applyNumberFormat="1" applyFill="1" applyBorder="1"/>
    <xf numFmtId="42" fontId="0" fillId="15" borderId="55" xfId="0" applyNumberFormat="1" applyFill="1" applyBorder="1"/>
    <xf numFmtId="0" fontId="0" fillId="15" borderId="15" xfId="0" applyFill="1" applyBorder="1" applyAlignment="1">
      <alignment horizontal="center"/>
    </xf>
    <xf numFmtId="0" fontId="0" fillId="15" borderId="9" xfId="0" applyFill="1" applyBorder="1" applyAlignment="1">
      <alignment horizontal="center"/>
    </xf>
    <xf numFmtId="0" fontId="0" fillId="15" borderId="26" xfId="0" applyFill="1" applyBorder="1" applyAlignment="1">
      <alignment horizontal="center"/>
    </xf>
    <xf numFmtId="9" fontId="0" fillId="0" borderId="3" xfId="0" applyNumberFormat="1" applyBorder="1" applyAlignment="1">
      <alignment horizontal="center"/>
    </xf>
    <xf numFmtId="44" fontId="0" fillId="15" borderId="34" xfId="0" applyNumberFormat="1" applyFill="1" applyBorder="1" applyAlignment="1">
      <alignment vertical="center"/>
    </xf>
    <xf numFmtId="44" fontId="0" fillId="15" borderId="34" xfId="0" applyNumberFormat="1" applyFill="1" applyBorder="1" applyAlignment="1">
      <alignment horizontal="center" vertical="center"/>
    </xf>
    <xf numFmtId="0" fontId="0" fillId="0" borderId="21" xfId="0" applyBorder="1"/>
    <xf numFmtId="6" fontId="9" fillId="0" borderId="0" xfId="1" applyNumberFormat="1" applyFont="1" applyAlignment="1">
      <alignment vertical="top" wrapText="1"/>
    </xf>
    <xf numFmtId="0" fontId="51" fillId="0" borderId="0" xfId="0" applyFont="1" applyAlignment="1">
      <alignment horizontal="center" vertical="center"/>
    </xf>
    <xf numFmtId="0" fontId="52" fillId="0" borderId="0" xfId="0" applyFont="1" applyAlignment="1">
      <alignment vertical="center"/>
    </xf>
    <xf numFmtId="42" fontId="3" fillId="15" borderId="3" xfId="0" applyNumberFormat="1" applyFont="1" applyFill="1" applyBorder="1" applyAlignment="1">
      <alignment horizontal="center" vertical="center"/>
    </xf>
    <xf numFmtId="0" fontId="0" fillId="10" borderId="45" xfId="0" applyFill="1" applyBorder="1" applyAlignment="1">
      <alignment horizontal="center"/>
    </xf>
    <xf numFmtId="0" fontId="0" fillId="10" borderId="46" xfId="0" applyFill="1" applyBorder="1" applyAlignment="1">
      <alignment horizontal="center"/>
    </xf>
    <xf numFmtId="0" fontId="0" fillId="10" borderId="47" xfId="0" applyFill="1" applyBorder="1" applyAlignment="1">
      <alignment horizontal="center"/>
    </xf>
    <xf numFmtId="42" fontId="3" fillId="3" borderId="8" xfId="0" applyNumberFormat="1" applyFont="1" applyFill="1" applyBorder="1" applyAlignment="1">
      <alignment horizontal="center"/>
    </xf>
    <xf numFmtId="42" fontId="3" fillId="3" borderId="9" xfId="0" applyNumberFormat="1" applyFont="1" applyFill="1" applyBorder="1" applyAlignment="1">
      <alignment horizontal="center"/>
    </xf>
    <xf numFmtId="0" fontId="3" fillId="2" borderId="3" xfId="0" applyFont="1" applyFill="1" applyBorder="1" applyAlignment="1">
      <alignment horizontal="right"/>
    </xf>
    <xf numFmtId="42" fontId="0" fillId="0" borderId="0" xfId="0" applyNumberFormat="1" applyAlignment="1">
      <alignment horizontal="center"/>
    </xf>
    <xf numFmtId="42" fontId="0" fillId="15" borderId="8" xfId="0" applyNumberFormat="1" applyFill="1" applyBorder="1" applyAlignment="1">
      <alignment horizontal="center"/>
    </xf>
    <xf numFmtId="44" fontId="3" fillId="3" borderId="23" xfId="0" applyNumberFormat="1" applyFont="1" applyFill="1" applyBorder="1" applyAlignment="1">
      <alignment vertical="center"/>
    </xf>
    <xf numFmtId="0" fontId="3" fillId="15" borderId="3" xfId="0" applyFont="1" applyFill="1" applyBorder="1" applyAlignment="1">
      <alignment horizontal="center"/>
    </xf>
    <xf numFmtId="175" fontId="0" fillId="15" borderId="38" xfId="0" applyNumberFormat="1" applyFill="1" applyBorder="1" applyAlignment="1">
      <alignment horizontal="center"/>
    </xf>
    <xf numFmtId="0" fontId="0" fillId="0" borderId="0" xfId="0" quotePrefix="1"/>
    <xf numFmtId="42" fontId="0" fillId="15" borderId="12" xfId="0" applyNumberFormat="1" applyFill="1" applyBorder="1" applyAlignment="1">
      <alignment horizontal="center"/>
    </xf>
    <xf numFmtId="0" fontId="3" fillId="2" borderId="70" xfId="0" applyFont="1" applyFill="1" applyBorder="1"/>
    <xf numFmtId="0" fontId="0" fillId="15" borderId="16" xfId="0" applyFill="1" applyBorder="1"/>
    <xf numFmtId="0" fontId="0" fillId="15" borderId="7" xfId="0" applyFill="1" applyBorder="1"/>
    <xf numFmtId="0" fontId="0" fillId="15" borderId="68" xfId="0" applyFill="1" applyBorder="1"/>
    <xf numFmtId="42" fontId="3" fillId="14" borderId="3" xfId="0" applyNumberFormat="1" applyFont="1" applyFill="1" applyBorder="1" applyAlignment="1">
      <alignment horizontal="center"/>
    </xf>
    <xf numFmtId="42" fontId="3" fillId="2" borderId="23" xfId="0" applyNumberFormat="1" applyFont="1" applyFill="1" applyBorder="1" applyAlignment="1">
      <alignment horizontal="center"/>
    </xf>
    <xf numFmtId="42" fontId="3" fillId="2" borderId="3" xfId="0" applyNumberFormat="1" applyFont="1" applyFill="1" applyBorder="1" applyAlignment="1">
      <alignment horizontal="center"/>
    </xf>
    <xf numFmtId="42" fontId="3" fillId="15" borderId="8" xfId="0" applyNumberFormat="1" applyFont="1" applyFill="1" applyBorder="1" applyAlignment="1">
      <alignment horizontal="center"/>
    </xf>
    <xf numFmtId="42" fontId="0" fillId="0" borderId="14" xfId="0" applyNumberFormat="1" applyBorder="1" applyAlignment="1">
      <alignment horizontal="center"/>
    </xf>
    <xf numFmtId="42" fontId="3" fillId="15" borderId="3" xfId="0" applyNumberFormat="1" applyFont="1" applyFill="1" applyBorder="1" applyAlignment="1">
      <alignment horizontal="center"/>
    </xf>
    <xf numFmtId="42" fontId="3" fillId="14" borderId="23" xfId="0" applyNumberFormat="1" applyFont="1" applyFill="1" applyBorder="1" applyAlignment="1">
      <alignment horizontal="center"/>
    </xf>
    <xf numFmtId="42" fontId="3" fillId="2" borderId="48" xfId="0" applyNumberFormat="1" applyFont="1" applyFill="1" applyBorder="1" applyAlignment="1">
      <alignment horizontal="center"/>
    </xf>
    <xf numFmtId="42" fontId="3" fillId="3" borderId="3" xfId="0" applyNumberFormat="1" applyFont="1" applyFill="1" applyBorder="1" applyAlignment="1">
      <alignment vertical="center"/>
    </xf>
    <xf numFmtId="42" fontId="3" fillId="14" borderId="19" xfId="0" applyNumberFormat="1" applyFont="1" applyFill="1" applyBorder="1" applyAlignment="1">
      <alignment horizontal="center" vertical="center"/>
    </xf>
    <xf numFmtId="0" fontId="0" fillId="15" borderId="33" xfId="0" applyFill="1" applyBorder="1" applyAlignment="1">
      <alignment horizontal="center"/>
    </xf>
    <xf numFmtId="0" fontId="0" fillId="15" borderId="34" xfId="0" applyFill="1" applyBorder="1" applyAlignment="1">
      <alignment horizontal="center"/>
    </xf>
    <xf numFmtId="42" fontId="0" fillId="15" borderId="9" xfId="0" applyNumberFormat="1" applyFill="1" applyBorder="1" applyAlignment="1">
      <alignment horizontal="center"/>
    </xf>
    <xf numFmtId="42" fontId="0" fillId="15" borderId="26" xfId="0" applyNumberFormat="1" applyFill="1" applyBorder="1" applyAlignment="1">
      <alignment horizontal="center"/>
    </xf>
    <xf numFmtId="42" fontId="3" fillId="14" borderId="24" xfId="0" applyNumberFormat="1" applyFont="1" applyFill="1" applyBorder="1" applyAlignment="1">
      <alignment horizontal="center"/>
    </xf>
    <xf numFmtId="42" fontId="3" fillId="14" borderId="29" xfId="0" applyNumberFormat="1" applyFont="1" applyFill="1" applyBorder="1" applyAlignment="1">
      <alignment horizontal="center"/>
    </xf>
    <xf numFmtId="42" fontId="0" fillId="15" borderId="15" xfId="0" applyNumberFormat="1" applyFill="1" applyBorder="1" applyAlignment="1">
      <alignment horizontal="center"/>
    </xf>
    <xf numFmtId="0" fontId="3" fillId="15" borderId="8" xfId="0" applyFont="1" applyFill="1" applyBorder="1" applyAlignment="1">
      <alignment horizontal="center"/>
    </xf>
    <xf numFmtId="0" fontId="0" fillId="15" borderId="17" xfId="0" applyFill="1" applyBorder="1" applyAlignment="1">
      <alignment horizontal="center"/>
    </xf>
    <xf numFmtId="0" fontId="0" fillId="15" borderId="64" xfId="0" applyFill="1" applyBorder="1" applyAlignment="1">
      <alignment horizontal="center"/>
    </xf>
    <xf numFmtId="0" fontId="0" fillId="14" borderId="36" xfId="0" applyFill="1" applyBorder="1" applyAlignment="1">
      <alignment horizontal="center"/>
    </xf>
    <xf numFmtId="0" fontId="0" fillId="15" borderId="6" xfId="0" applyFill="1" applyBorder="1" applyAlignment="1">
      <alignment horizontal="center"/>
    </xf>
    <xf numFmtId="0" fontId="0" fillId="3" borderId="36" xfId="0" applyFill="1" applyBorder="1" applyAlignment="1">
      <alignment horizontal="center"/>
    </xf>
    <xf numFmtId="42" fontId="0" fillId="15" borderId="10" xfId="0" applyNumberFormat="1" applyFill="1" applyBorder="1" applyAlignment="1">
      <alignment horizontal="center"/>
    </xf>
    <xf numFmtId="42" fontId="3" fillId="3" borderId="28" xfId="0" applyNumberFormat="1" applyFont="1" applyFill="1" applyBorder="1" applyAlignment="1">
      <alignment horizontal="center"/>
    </xf>
    <xf numFmtId="0" fontId="0" fillId="15" borderId="43" xfId="0" applyFill="1" applyBorder="1" applyAlignment="1">
      <alignment horizontal="center"/>
    </xf>
    <xf numFmtId="0" fontId="3" fillId="3" borderId="36" xfId="0" applyFont="1" applyFill="1" applyBorder="1" applyAlignment="1">
      <alignment horizontal="center"/>
    </xf>
    <xf numFmtId="42" fontId="0" fillId="15" borderId="8" xfId="0" applyNumberFormat="1" applyFill="1" applyBorder="1" applyAlignment="1">
      <alignment horizontal="center" vertical="center"/>
    </xf>
    <xf numFmtId="42" fontId="0" fillId="15" borderId="9" xfId="0" applyNumberFormat="1" applyFill="1" applyBorder="1" applyAlignment="1">
      <alignment horizontal="center" vertical="center"/>
    </xf>
    <xf numFmtId="42" fontId="0" fillId="15" borderId="26" xfId="0" applyNumberFormat="1" applyFill="1" applyBorder="1" applyAlignment="1">
      <alignment horizontal="center" vertical="center"/>
    </xf>
    <xf numFmtId="42" fontId="0" fillId="15" borderId="54" xfId="0" applyNumberFormat="1" applyFill="1" applyBorder="1" applyAlignment="1">
      <alignment horizontal="center" vertical="center"/>
    </xf>
    <xf numFmtId="42" fontId="0" fillId="15" borderId="15" xfId="0" applyNumberFormat="1" applyFill="1" applyBorder="1" applyAlignment="1">
      <alignment horizontal="center" vertical="center"/>
    </xf>
    <xf numFmtId="42" fontId="0" fillId="15" borderId="53" xfId="0" applyNumberFormat="1" applyFill="1" applyBorder="1" applyAlignment="1">
      <alignment horizontal="center" vertical="center"/>
    </xf>
    <xf numFmtId="42" fontId="0" fillId="15" borderId="10" xfId="0" applyNumberFormat="1" applyFill="1" applyBorder="1" applyAlignment="1">
      <alignment horizontal="center" vertical="center"/>
    </xf>
    <xf numFmtId="42" fontId="0" fillId="15" borderId="55" xfId="0" applyNumberFormat="1" applyFill="1" applyBorder="1" applyAlignment="1">
      <alignment horizontal="center" vertical="center"/>
    </xf>
    <xf numFmtId="42" fontId="3" fillId="3" borderId="48" xfId="0" applyNumberFormat="1" applyFont="1" applyFill="1" applyBorder="1" applyAlignment="1">
      <alignment horizontal="center" vertical="center"/>
    </xf>
    <xf numFmtId="42" fontId="11" fillId="3" borderId="5" xfId="0" applyNumberFormat="1" applyFont="1" applyFill="1" applyBorder="1" applyAlignment="1">
      <alignment horizontal="center" vertical="center"/>
    </xf>
    <xf numFmtId="0" fontId="3" fillId="14" borderId="59" xfId="0" applyFont="1" applyFill="1" applyBorder="1" applyAlignment="1">
      <alignment horizontal="center"/>
    </xf>
    <xf numFmtId="42" fontId="3" fillId="3" borderId="48" xfId="0" applyNumberFormat="1" applyFont="1" applyFill="1" applyBorder="1" applyAlignment="1">
      <alignment horizontal="center"/>
    </xf>
    <xf numFmtId="42" fontId="0" fillId="15" borderId="56" xfId="0" applyNumberFormat="1" applyFill="1" applyBorder="1" applyAlignment="1">
      <alignment horizontal="center"/>
    </xf>
    <xf numFmtId="42" fontId="0" fillId="15" borderId="54" xfId="0" applyNumberFormat="1" applyFill="1" applyBorder="1" applyAlignment="1">
      <alignment horizontal="center"/>
    </xf>
    <xf numFmtId="42" fontId="0" fillId="15" borderId="53" xfId="0" applyNumberFormat="1" applyFill="1" applyBorder="1" applyAlignment="1">
      <alignment horizontal="center"/>
    </xf>
    <xf numFmtId="42" fontId="0" fillId="15" borderId="55" xfId="0" applyNumberFormat="1" applyFill="1" applyBorder="1" applyAlignment="1">
      <alignment horizontal="center"/>
    </xf>
    <xf numFmtId="42" fontId="0" fillId="0" borderId="0" xfId="0" quotePrefix="1" applyNumberFormat="1" applyAlignment="1">
      <alignment horizontal="left"/>
    </xf>
    <xf numFmtId="42" fontId="3" fillId="2" borderId="50" xfId="0" applyNumberFormat="1" applyFont="1" applyFill="1" applyBorder="1" applyAlignment="1">
      <alignment horizontal="center"/>
    </xf>
    <xf numFmtId="42" fontId="0" fillId="15" borderId="58" xfId="0" applyNumberFormat="1" applyFill="1" applyBorder="1" applyAlignment="1">
      <alignment horizontal="center"/>
    </xf>
    <xf numFmtId="42" fontId="0" fillId="15" borderId="72" xfId="0" applyNumberFormat="1" applyFill="1" applyBorder="1" applyAlignment="1">
      <alignment horizontal="right"/>
    </xf>
    <xf numFmtId="42" fontId="3" fillId="2" borderId="28" xfId="0" applyNumberFormat="1" applyFont="1" applyFill="1" applyBorder="1" applyAlignment="1">
      <alignment horizontal="center"/>
    </xf>
    <xf numFmtId="42" fontId="0" fillId="15" borderId="69" xfId="0" applyNumberFormat="1" applyFill="1" applyBorder="1" applyAlignment="1">
      <alignment horizontal="center"/>
    </xf>
    <xf numFmtId="0" fontId="0" fillId="0" borderId="74" xfId="0" applyBorder="1" applyAlignment="1">
      <alignment horizontal="center"/>
    </xf>
    <xf numFmtId="42" fontId="0" fillId="15" borderId="72" xfId="0" applyNumberFormat="1" applyFill="1" applyBorder="1" applyAlignment="1">
      <alignment horizontal="center"/>
    </xf>
    <xf numFmtId="42" fontId="11" fillId="14" borderId="28" xfId="0" applyNumberFormat="1" applyFont="1" applyFill="1" applyBorder="1" applyAlignment="1">
      <alignment horizontal="center"/>
    </xf>
    <xf numFmtId="42" fontId="3" fillId="14" borderId="28" xfId="0" applyNumberFormat="1" applyFont="1" applyFill="1" applyBorder="1" applyAlignment="1">
      <alignment horizontal="center"/>
    </xf>
    <xf numFmtId="42" fontId="11" fillId="14" borderId="3" xfId="0" applyNumberFormat="1" applyFont="1" applyFill="1" applyBorder="1" applyAlignment="1">
      <alignment horizontal="center"/>
    </xf>
    <xf numFmtId="42" fontId="0" fillId="15" borderId="14" xfId="0" applyNumberFormat="1" applyFill="1" applyBorder="1" applyAlignment="1">
      <alignment horizontal="center"/>
    </xf>
    <xf numFmtId="42" fontId="29" fillId="15" borderId="1" xfId="0" applyNumberFormat="1" applyFont="1" applyFill="1" applyBorder="1" applyAlignment="1">
      <alignment horizontal="center"/>
    </xf>
    <xf numFmtId="42" fontId="29" fillId="2" borderId="4" xfId="0" applyNumberFormat="1" applyFont="1" applyFill="1" applyBorder="1" applyAlignment="1">
      <alignment horizontal="center"/>
    </xf>
    <xf numFmtId="42" fontId="29" fillId="2" borderId="5" xfId="0" applyNumberFormat="1" applyFont="1" applyFill="1" applyBorder="1" applyAlignment="1">
      <alignment horizontal="center"/>
    </xf>
    <xf numFmtId="42" fontId="29" fillId="15" borderId="11" xfId="0" applyNumberFormat="1" applyFont="1" applyFill="1" applyBorder="1" applyAlignment="1">
      <alignment horizontal="center"/>
    </xf>
    <xf numFmtId="42" fontId="29" fillId="15" borderId="12" xfId="0" applyNumberFormat="1" applyFont="1" applyFill="1" applyBorder="1" applyAlignment="1">
      <alignment horizontal="center"/>
    </xf>
    <xf numFmtId="42" fontId="29" fillId="15" borderId="13" xfId="0" applyNumberFormat="1" applyFont="1" applyFill="1" applyBorder="1" applyAlignment="1">
      <alignment horizontal="center"/>
    </xf>
    <xf numFmtId="0" fontId="0" fillId="0" borderId="10" xfId="0" applyBorder="1" applyAlignment="1">
      <alignment horizontal="center"/>
    </xf>
    <xf numFmtId="0" fontId="3" fillId="14" borderId="3" xfId="0" applyFont="1" applyFill="1" applyBorder="1" applyAlignment="1">
      <alignment horizontal="center"/>
    </xf>
    <xf numFmtId="44" fontId="13" fillId="0" borderId="0" xfId="2" applyNumberFormat="1" applyAlignment="1">
      <alignment vertical="center"/>
    </xf>
    <xf numFmtId="42" fontId="3" fillId="15" borderId="9" xfId="0" applyNumberFormat="1" applyFont="1" applyFill="1" applyBorder="1"/>
    <xf numFmtId="42" fontId="3" fillId="15" borderId="10" xfId="0" applyNumberFormat="1" applyFont="1" applyFill="1" applyBorder="1"/>
    <xf numFmtId="42" fontId="11" fillId="3" borderId="3" xfId="0" applyNumberFormat="1" applyFont="1" applyFill="1" applyBorder="1" applyAlignment="1">
      <alignment vertical="center"/>
    </xf>
    <xf numFmtId="42" fontId="3" fillId="3" borderId="3" xfId="0" applyNumberFormat="1" applyFont="1" applyFill="1" applyBorder="1" applyAlignment="1">
      <alignment horizontal="right" vertical="center"/>
    </xf>
    <xf numFmtId="0" fontId="3" fillId="23" borderId="14" xfId="0" applyFont="1" applyFill="1" applyBorder="1" applyAlignment="1">
      <alignment horizontal="center" vertical="center"/>
    </xf>
    <xf numFmtId="0" fontId="3" fillId="23" borderId="3" xfId="0" applyFont="1" applyFill="1" applyBorder="1" applyAlignment="1">
      <alignment horizontal="center" vertical="center"/>
    </xf>
    <xf numFmtId="0" fontId="0" fillId="0" borderId="13" xfId="0" applyBorder="1" applyAlignment="1">
      <alignment vertical="center"/>
    </xf>
    <xf numFmtId="0" fontId="0" fillId="0" borderId="21" xfId="0" applyBorder="1" applyAlignment="1">
      <alignment vertical="center"/>
    </xf>
    <xf numFmtId="42" fontId="3" fillId="3" borderId="28" xfId="0" applyNumberFormat="1" applyFont="1" applyFill="1" applyBorder="1" applyAlignment="1">
      <alignment vertical="center"/>
    </xf>
    <xf numFmtId="42" fontId="3" fillId="3" borderId="50" xfId="0" applyNumberFormat="1" applyFont="1" applyFill="1" applyBorder="1" applyAlignment="1">
      <alignment horizontal="center" vertical="center"/>
    </xf>
    <xf numFmtId="41" fontId="3" fillId="3" borderId="28" xfId="0" applyNumberFormat="1" applyFont="1" applyFill="1" applyBorder="1" applyAlignment="1">
      <alignment horizontal="center" vertical="center"/>
    </xf>
    <xf numFmtId="42" fontId="3" fillId="3" borderId="51" xfId="0" applyNumberFormat="1" applyFont="1" applyFill="1" applyBorder="1" applyAlignment="1">
      <alignment horizontal="center" vertical="center"/>
    </xf>
    <xf numFmtId="42" fontId="3" fillId="3" borderId="28" xfId="0" applyNumberFormat="1" applyFont="1" applyFill="1" applyBorder="1" applyAlignment="1">
      <alignment horizontal="center" vertical="center"/>
    </xf>
    <xf numFmtId="0" fontId="0" fillId="0" borderId="23" xfId="0" applyBorder="1" applyAlignment="1">
      <alignment horizontal="center"/>
    </xf>
    <xf numFmtId="42" fontId="0" fillId="15" borderId="23" xfId="0" applyNumberFormat="1" applyFill="1" applyBorder="1" applyAlignment="1">
      <alignment horizontal="center"/>
    </xf>
    <xf numFmtId="0" fontId="0" fillId="2" borderId="3" xfId="0" applyFill="1" applyBorder="1" applyAlignment="1">
      <alignment horizontal="center"/>
    </xf>
    <xf numFmtId="0" fontId="62" fillId="0" borderId="1" xfId="0" applyFont="1" applyBorder="1" applyAlignment="1">
      <alignment vertical="center" wrapText="1"/>
    </xf>
    <xf numFmtId="0" fontId="61" fillId="0" borderId="37" xfId="0" applyFont="1" applyBorder="1" applyAlignment="1">
      <alignment horizontal="center" vertical="center"/>
    </xf>
    <xf numFmtId="0" fontId="62" fillId="0" borderId="11" xfId="0" applyFont="1" applyBorder="1" applyAlignment="1">
      <alignment vertical="center" wrapText="1"/>
    </xf>
    <xf numFmtId="0" fontId="62" fillId="0" borderId="20" xfId="0" applyFont="1" applyBorder="1" applyAlignment="1">
      <alignment vertical="center" wrapText="1"/>
    </xf>
    <xf numFmtId="0" fontId="62" fillId="0" borderId="6" xfId="0" applyFont="1" applyBorder="1" applyAlignment="1">
      <alignment vertical="center" wrapText="1"/>
    </xf>
    <xf numFmtId="0" fontId="0" fillId="0" borderId="57" xfId="0" applyBorder="1" applyAlignment="1">
      <alignment horizontal="center" vertical="center"/>
    </xf>
    <xf numFmtId="42" fontId="3" fillId="15" borderId="31" xfId="0" applyNumberFormat="1" applyFont="1" applyFill="1" applyBorder="1" applyAlignment="1">
      <alignment horizontal="center"/>
    </xf>
    <xf numFmtId="42" fontId="3" fillId="15" borderId="58" xfId="0" applyNumberFormat="1" applyFont="1" applyFill="1" applyBorder="1"/>
    <xf numFmtId="0" fontId="3" fillId="14" borderId="36" xfId="0" applyFont="1" applyFill="1" applyBorder="1" applyAlignment="1">
      <alignment horizontal="center"/>
    </xf>
    <xf numFmtId="42" fontId="0" fillId="15" borderId="6" xfId="0" applyNumberFormat="1" applyFill="1" applyBorder="1" applyAlignment="1">
      <alignment horizontal="center"/>
    </xf>
    <xf numFmtId="0" fontId="3" fillId="0" borderId="0" xfId="0" applyFont="1" applyAlignment="1">
      <alignment horizontal="center"/>
    </xf>
    <xf numFmtId="42" fontId="3" fillId="0" borderId="0" xfId="0" applyNumberFormat="1" applyFont="1" applyAlignment="1">
      <alignment horizontal="center"/>
    </xf>
    <xf numFmtId="42" fontId="3" fillId="0" borderId="72" xfId="0" applyNumberFormat="1" applyFont="1" applyBorder="1"/>
    <xf numFmtId="42" fontId="3" fillId="12" borderId="23" xfId="0" applyNumberFormat="1" applyFont="1" applyFill="1" applyBorder="1"/>
    <xf numFmtId="0" fontId="0" fillId="0" borderId="0" xfId="0" applyAlignment="1">
      <alignment horizontal="left"/>
    </xf>
    <xf numFmtId="42" fontId="29" fillId="3" borderId="4" xfId="0" applyNumberFormat="1" applyFont="1" applyFill="1" applyBorder="1" applyAlignment="1">
      <alignment horizontal="center"/>
    </xf>
    <xf numFmtId="0" fontId="3" fillId="21" borderId="3" xfId="0" applyFont="1" applyFill="1" applyBorder="1" applyAlignment="1">
      <alignment horizontal="center"/>
    </xf>
    <xf numFmtId="0" fontId="3" fillId="0" borderId="44" xfId="0" applyFont="1" applyBorder="1"/>
    <xf numFmtId="175" fontId="64" fillId="0" borderId="34" xfId="0" applyNumberFormat="1" applyFont="1" applyBorder="1" applyAlignment="1">
      <alignment horizontal="center"/>
    </xf>
    <xf numFmtId="0" fontId="64" fillId="0" borderId="1" xfId="0" applyFont="1" applyBorder="1"/>
    <xf numFmtId="0" fontId="64" fillId="0" borderId="13" xfId="0" applyFont="1" applyBorder="1"/>
    <xf numFmtId="0" fontId="3" fillId="15" borderId="26" xfId="0" applyFont="1" applyFill="1" applyBorder="1" applyAlignment="1">
      <alignment horizontal="center"/>
    </xf>
    <xf numFmtId="175" fontId="0" fillId="15" borderId="39" xfId="0" applyNumberFormat="1" applyFill="1" applyBorder="1" applyAlignment="1">
      <alignment horizontal="center"/>
    </xf>
    <xf numFmtId="42" fontId="3" fillId="15" borderId="26" xfId="0" applyNumberFormat="1" applyFont="1" applyFill="1" applyBorder="1" applyAlignment="1">
      <alignment horizontal="center"/>
    </xf>
    <xf numFmtId="0" fontId="42" fillId="20" borderId="48" xfId="0" applyFont="1" applyFill="1" applyBorder="1"/>
    <xf numFmtId="0" fontId="42" fillId="20" borderId="19" xfId="0" applyFont="1" applyFill="1" applyBorder="1"/>
    <xf numFmtId="0" fontId="0" fillId="0" borderId="0" xfId="0" applyAlignment="1">
      <alignment horizontal="left" vertical="center" wrapText="1"/>
    </xf>
    <xf numFmtId="0" fontId="3" fillId="2" borderId="28" xfId="0" applyFont="1" applyFill="1" applyBorder="1"/>
    <xf numFmtId="0" fontId="0" fillId="3" borderId="3" xfId="0" applyFill="1" applyBorder="1" applyAlignment="1">
      <alignment horizontal="center" vertical="center"/>
    </xf>
    <xf numFmtId="0" fontId="0" fillId="0" borderId="28" xfId="0" applyBorder="1" applyAlignment="1">
      <alignment horizontal="left" vertical="center" wrapText="1"/>
    </xf>
    <xf numFmtId="0" fontId="0" fillId="14" borderId="3" xfId="0" applyFill="1" applyBorder="1" applyAlignment="1">
      <alignment horizontal="center" vertical="center"/>
    </xf>
    <xf numFmtId="0" fontId="0" fillId="15" borderId="3" xfId="0" applyFill="1" applyBorder="1" applyAlignment="1">
      <alignment horizontal="center" vertical="center"/>
    </xf>
    <xf numFmtId="0" fontId="0" fillId="8" borderId="3" xfId="0" applyFill="1" applyBorder="1" applyAlignment="1">
      <alignment horizontal="center" vertical="center"/>
    </xf>
    <xf numFmtId="0" fontId="9" fillId="11" borderId="14" xfId="0" applyFont="1" applyFill="1" applyBorder="1" applyAlignment="1">
      <alignment horizontal="center" vertical="center"/>
    </xf>
    <xf numFmtId="0" fontId="0" fillId="0" borderId="30" xfId="0" applyBorder="1" applyAlignment="1">
      <alignment horizontal="left" vertical="center" wrapText="1"/>
    </xf>
    <xf numFmtId="0" fontId="0" fillId="12" borderId="3" xfId="0" applyFill="1" applyBorder="1" applyAlignment="1">
      <alignment horizontal="center" vertical="center"/>
    </xf>
    <xf numFmtId="0" fontId="0" fillId="0" borderId="28" xfId="0" quotePrefix="1" applyBorder="1" applyAlignment="1">
      <alignment wrapText="1"/>
    </xf>
    <xf numFmtId="0" fontId="11" fillId="2" borderId="23" xfId="0" applyFont="1" applyFill="1" applyBorder="1" applyAlignment="1">
      <alignment horizontal="center"/>
    </xf>
    <xf numFmtId="0" fontId="11" fillId="2" borderId="22" xfId="0" applyFont="1" applyFill="1" applyBorder="1"/>
    <xf numFmtId="0" fontId="11" fillId="2" borderId="50" xfId="0" applyFont="1" applyFill="1" applyBorder="1"/>
    <xf numFmtId="0" fontId="0" fillId="0" borderId="12" xfId="0" applyBorder="1"/>
    <xf numFmtId="0" fontId="29" fillId="0" borderId="13" xfId="0" applyFont="1" applyBorder="1" applyAlignment="1">
      <alignment horizontal="center" vertical="center" wrapText="1"/>
    </xf>
    <xf numFmtId="0" fontId="7" fillId="6" borderId="48" xfId="0" applyFont="1" applyFill="1" applyBorder="1" applyAlignment="1">
      <alignment horizontal="left" vertical="center" wrapText="1"/>
    </xf>
    <xf numFmtId="0" fontId="31" fillId="6" borderId="28" xfId="0" applyFont="1" applyFill="1" applyBorder="1"/>
    <xf numFmtId="0" fontId="0" fillId="0" borderId="73" xfId="0" quotePrefix="1" applyBorder="1"/>
    <xf numFmtId="0" fontId="0" fillId="0" borderId="7" xfId="0" quotePrefix="1" applyBorder="1"/>
    <xf numFmtId="0" fontId="0" fillId="0" borderId="68" xfId="0" quotePrefix="1" applyBorder="1"/>
    <xf numFmtId="0" fontId="0" fillId="0" borderId="8" xfId="0" applyBorder="1"/>
    <xf numFmtId="0" fontId="0" fillId="0" borderId="73" xfId="0" applyBorder="1"/>
    <xf numFmtId="0" fontId="0" fillId="0" borderId="7" xfId="0" quotePrefix="1" applyBorder="1" applyAlignment="1">
      <alignment vertical="center" wrapText="1"/>
    </xf>
    <xf numFmtId="0" fontId="0" fillId="0" borderId="68" xfId="0" quotePrefix="1" applyBorder="1" applyAlignment="1">
      <alignment vertical="center" wrapText="1"/>
    </xf>
    <xf numFmtId="0" fontId="40" fillId="6" borderId="19" xfId="0" applyFont="1" applyFill="1" applyBorder="1"/>
    <xf numFmtId="0" fontId="40" fillId="6" borderId="28" xfId="0" applyFont="1" applyFill="1" applyBorder="1"/>
    <xf numFmtId="0" fontId="40" fillId="6" borderId="3" xfId="0" applyFont="1" applyFill="1" applyBorder="1"/>
    <xf numFmtId="0" fontId="29" fillId="6" borderId="22" xfId="0" applyFont="1" applyFill="1" applyBorder="1"/>
    <xf numFmtId="0" fontId="29" fillId="6" borderId="50" xfId="0" applyFont="1" applyFill="1" applyBorder="1"/>
    <xf numFmtId="0" fontId="3" fillId="14" borderId="8" xfId="0" applyFont="1" applyFill="1" applyBorder="1" applyAlignment="1">
      <alignment horizontal="center" vertical="center"/>
    </xf>
    <xf numFmtId="0" fontId="3" fillId="14" borderId="26" xfId="0" applyFont="1" applyFill="1" applyBorder="1" applyAlignment="1">
      <alignment horizontal="center" vertical="center"/>
    </xf>
    <xf numFmtId="0" fontId="29" fillId="6" borderId="23" xfId="0" applyFont="1" applyFill="1" applyBorder="1"/>
    <xf numFmtId="0" fontId="31" fillId="8" borderId="3" xfId="0" applyFont="1" applyFill="1" applyBorder="1" applyAlignment="1">
      <alignment horizontal="center" vertical="center"/>
    </xf>
    <xf numFmtId="0" fontId="0" fillId="0" borderId="7" xfId="0" quotePrefix="1" applyBorder="1" applyAlignment="1">
      <alignment wrapText="1"/>
    </xf>
    <xf numFmtId="0" fontId="0" fillId="0" borderId="56" xfId="0" applyBorder="1" applyAlignment="1">
      <alignment horizontal="center" vertical="center"/>
    </xf>
    <xf numFmtId="0" fontId="3" fillId="0" borderId="23" xfId="0" applyFont="1" applyBorder="1" applyAlignment="1">
      <alignment horizontal="center" vertical="center"/>
    </xf>
    <xf numFmtId="0" fontId="3" fillId="3" borderId="22" xfId="0" applyFont="1" applyFill="1" applyBorder="1" applyAlignment="1">
      <alignment vertical="center" wrapText="1"/>
    </xf>
    <xf numFmtId="44" fontId="3" fillId="3" borderId="23" xfId="0" applyNumberFormat="1" applyFont="1" applyFill="1" applyBorder="1" applyAlignment="1">
      <alignment horizontal="center" vertical="center"/>
    </xf>
    <xf numFmtId="42" fontId="3" fillId="0" borderId="8" xfId="0" applyNumberFormat="1" applyFont="1" applyBorder="1" applyAlignment="1">
      <alignment horizontal="center" vertical="center"/>
    </xf>
    <xf numFmtId="42" fontId="0" fillId="15" borderId="10" xfId="0" applyNumberFormat="1" applyFill="1" applyBorder="1" applyAlignment="1">
      <alignment vertical="center"/>
    </xf>
    <xf numFmtId="42" fontId="14" fillId="15" borderId="34" xfId="0" applyNumberFormat="1" applyFont="1" applyFill="1" applyBorder="1" applyAlignment="1">
      <alignment horizontal="center" vertical="center"/>
    </xf>
    <xf numFmtId="42" fontId="14" fillId="15" borderId="35" xfId="0" applyNumberFormat="1" applyFont="1" applyFill="1" applyBorder="1" applyAlignment="1">
      <alignment horizontal="center" vertical="center"/>
    </xf>
    <xf numFmtId="42" fontId="0" fillId="15" borderId="45" xfId="0" applyNumberFormat="1" applyFill="1" applyBorder="1" applyAlignment="1">
      <alignment horizontal="center" vertical="center"/>
    </xf>
    <xf numFmtId="42" fontId="0" fillId="15" borderId="46" xfId="0" applyNumberFormat="1" applyFill="1" applyBorder="1" applyAlignment="1">
      <alignment horizontal="center" vertical="center"/>
    </xf>
    <xf numFmtId="42" fontId="0" fillId="0" borderId="26" xfId="0" applyNumberFormat="1" applyBorder="1" applyAlignment="1">
      <alignment horizontal="center" vertical="center"/>
    </xf>
    <xf numFmtId="42" fontId="0" fillId="15" borderId="8" xfId="0" applyNumberFormat="1" applyFill="1" applyBorder="1" applyAlignment="1">
      <alignment vertical="center"/>
    </xf>
    <xf numFmtId="42" fontId="0" fillId="15" borderId="9" xfId="0" applyNumberFormat="1" applyFill="1" applyBorder="1" applyAlignment="1">
      <alignment vertical="center"/>
    </xf>
    <xf numFmtId="42" fontId="0" fillId="0" borderId="10" xfId="0" applyNumberFormat="1" applyBorder="1" applyAlignment="1">
      <alignment vertical="center"/>
    </xf>
    <xf numFmtId="41" fontId="0" fillId="15" borderId="31" xfId="0" applyNumberFormat="1" applyFill="1" applyBorder="1" applyAlignment="1">
      <alignment horizontal="center" vertical="center"/>
    </xf>
    <xf numFmtId="41" fontId="0" fillId="15" borderId="58" xfId="0" applyNumberFormat="1" applyFill="1" applyBorder="1" applyAlignment="1">
      <alignment horizontal="center" vertical="center"/>
    </xf>
    <xf numFmtId="41" fontId="0" fillId="0" borderId="26" xfId="0" applyNumberFormat="1" applyBorder="1" applyAlignment="1">
      <alignment horizontal="center" vertical="center"/>
    </xf>
    <xf numFmtId="41" fontId="0" fillId="0" borderId="32" xfId="0" applyNumberFormat="1" applyBorder="1" applyAlignment="1">
      <alignment horizontal="center" vertical="center"/>
    </xf>
    <xf numFmtId="42" fontId="0" fillId="15" borderId="33" xfId="0" applyNumberFormat="1" applyFill="1" applyBorder="1" applyAlignment="1">
      <alignment horizontal="center" vertical="center"/>
    </xf>
    <xf numFmtId="42" fontId="0" fillId="15" borderId="34" xfId="0" applyNumberFormat="1" applyFill="1" applyBorder="1" applyAlignment="1">
      <alignment horizontal="center" vertical="center"/>
    </xf>
    <xf numFmtId="42" fontId="0" fillId="15" borderId="13" xfId="0" applyNumberFormat="1" applyFill="1" applyBorder="1" applyAlignment="1">
      <alignment horizontal="center" vertical="center"/>
    </xf>
    <xf numFmtId="42" fontId="9" fillId="15" borderId="11" xfId="0" applyNumberFormat="1" applyFont="1" applyFill="1" applyBorder="1" applyAlignment="1">
      <alignment horizontal="center" vertical="center"/>
    </xf>
    <xf numFmtId="0" fontId="0" fillId="0" borderId="56" xfId="0" applyBorder="1" applyAlignment="1">
      <alignment horizontal="center" wrapText="1"/>
    </xf>
    <xf numFmtId="0" fontId="0" fillId="0" borderId="54" xfId="0" applyBorder="1" applyAlignment="1">
      <alignment horizontal="center" wrapText="1"/>
    </xf>
    <xf numFmtId="0" fontId="0" fillId="15" borderId="13" xfId="0" applyFill="1" applyBorder="1" applyAlignment="1">
      <alignment horizontal="center" vertical="center"/>
    </xf>
    <xf numFmtId="0" fontId="0" fillId="15" borderId="21" xfId="0" applyFill="1" applyBorder="1" applyAlignment="1">
      <alignment horizontal="center" vertical="center"/>
    </xf>
    <xf numFmtId="44" fontId="0" fillId="0" borderId="43" xfId="0" applyNumberFormat="1" applyBorder="1" applyAlignment="1">
      <alignment vertical="center"/>
    </xf>
    <xf numFmtId="44" fontId="0" fillId="0" borderId="43" xfId="0" applyNumberFormat="1" applyBorder="1" applyAlignment="1">
      <alignment horizontal="center" vertical="center"/>
    </xf>
    <xf numFmtId="44" fontId="0" fillId="15" borderId="9" xfId="0" applyNumberFormat="1" applyFill="1" applyBorder="1" applyAlignment="1">
      <alignment vertical="center"/>
    </xf>
    <xf numFmtId="42" fontId="0" fillId="15" borderId="48" xfId="0" applyNumberFormat="1" applyFill="1" applyBorder="1" applyAlignment="1">
      <alignment vertical="center"/>
    </xf>
    <xf numFmtId="44" fontId="0" fillId="15" borderId="8" xfId="0" applyNumberFormat="1" applyFill="1" applyBorder="1" applyAlignment="1">
      <alignment vertical="center"/>
    </xf>
    <xf numFmtId="44" fontId="0" fillId="15" borderId="26" xfId="0" applyNumberFormat="1" applyFill="1" applyBorder="1" applyAlignment="1">
      <alignment vertical="center"/>
    </xf>
    <xf numFmtId="44" fontId="0" fillId="15" borderId="48" xfId="0" applyNumberFormat="1" applyFill="1" applyBorder="1" applyAlignment="1">
      <alignment vertical="center"/>
    </xf>
    <xf numFmtId="1" fontId="0" fillId="15" borderId="9" xfId="0" applyNumberFormat="1" applyFill="1" applyBorder="1" applyAlignment="1">
      <alignment horizontal="center" vertical="center"/>
    </xf>
    <xf numFmtId="169" fontId="0" fillId="15" borderId="18" xfId="0" applyNumberFormat="1" applyFill="1" applyBorder="1" applyAlignment="1">
      <alignment horizontal="center" vertical="center"/>
    </xf>
    <xf numFmtId="169" fontId="0" fillId="15" borderId="21" xfId="0" applyNumberFormat="1" applyFill="1" applyBorder="1" applyAlignment="1">
      <alignment horizontal="center" vertical="center"/>
    </xf>
    <xf numFmtId="169" fontId="0" fillId="15" borderId="8" xfId="0" applyNumberFormat="1" applyFill="1" applyBorder="1" applyAlignment="1">
      <alignment horizontal="center" vertical="center"/>
    </xf>
    <xf numFmtId="169" fontId="0" fillId="15" borderId="26" xfId="0" applyNumberFormat="1" applyFill="1" applyBorder="1" applyAlignment="1">
      <alignment horizontal="center" vertical="center"/>
    </xf>
    <xf numFmtId="42" fontId="0" fillId="15" borderId="26" xfId="0" applyNumberFormat="1" applyFill="1" applyBorder="1" applyAlignment="1">
      <alignment vertical="center"/>
    </xf>
    <xf numFmtId="44" fontId="0" fillId="15" borderId="36" xfId="0" applyNumberFormat="1" applyFill="1" applyBorder="1" applyAlignment="1">
      <alignment horizontal="center" vertical="center"/>
    </xf>
    <xf numFmtId="169" fontId="0" fillId="15" borderId="43" xfId="0" applyNumberFormat="1" applyFill="1" applyBorder="1" applyAlignment="1">
      <alignment horizontal="center" vertical="center"/>
    </xf>
    <xf numFmtId="169" fontId="0" fillId="15" borderId="35" xfId="0" applyNumberFormat="1" applyFill="1" applyBorder="1" applyAlignment="1">
      <alignment horizontal="center" vertical="center"/>
    </xf>
    <xf numFmtId="44" fontId="3" fillId="3" borderId="48" xfId="0" applyNumberFormat="1" applyFont="1" applyFill="1" applyBorder="1" applyAlignment="1">
      <alignment horizontal="center" vertical="center"/>
    </xf>
    <xf numFmtId="0" fontId="0" fillId="0" borderId="3" xfId="0" applyBorder="1" applyAlignment="1">
      <alignment vertical="center" wrapText="1"/>
    </xf>
    <xf numFmtId="168" fontId="0" fillId="0" borderId="28" xfId="0" applyNumberFormat="1" applyBorder="1" applyAlignment="1">
      <alignment horizontal="center" vertical="center"/>
    </xf>
    <xf numFmtId="44" fontId="0" fillId="17" borderId="9" xfId="0" applyNumberFormat="1" applyFill="1" applyBorder="1" applyAlignment="1">
      <alignment horizontal="center" vertical="center"/>
    </xf>
    <xf numFmtId="0" fontId="27" fillId="0" borderId="0" xfId="0" applyFont="1" applyAlignment="1">
      <alignment vertical="center"/>
    </xf>
    <xf numFmtId="168" fontId="0" fillId="12" borderId="3" xfId="0" applyNumberFormat="1" applyFill="1" applyBorder="1" applyAlignment="1">
      <alignment horizontal="center" vertical="center"/>
    </xf>
    <xf numFmtId="0" fontId="44" fillId="0" borderId="0" xfId="0" applyFont="1"/>
    <xf numFmtId="0" fontId="41" fillId="0" borderId="0" xfId="0" applyFont="1"/>
    <xf numFmtId="42" fontId="3" fillId="2" borderId="23" xfId="0" applyNumberFormat="1" applyFont="1" applyFill="1" applyBorder="1" applyAlignment="1">
      <alignment horizontal="center" wrapText="1"/>
    </xf>
    <xf numFmtId="0" fontId="0" fillId="0" borderId="8" xfId="0" applyBorder="1" applyAlignment="1">
      <alignment vertical="center"/>
    </xf>
    <xf numFmtId="0" fontId="0" fillId="0" borderId="15" xfId="0" applyBorder="1" applyAlignment="1">
      <alignment vertical="center" wrapText="1"/>
    </xf>
    <xf numFmtId="0" fontId="9" fillId="0" borderId="9" xfId="0" applyFont="1" applyBorder="1" applyAlignment="1">
      <alignment vertical="center" wrapText="1"/>
    </xf>
    <xf numFmtId="0" fontId="9" fillId="0" borderId="26" xfId="0" applyFont="1" applyBorder="1" applyAlignment="1">
      <alignment vertical="center" wrapText="1"/>
    </xf>
    <xf numFmtId="0" fontId="3" fillId="12" borderId="19" xfId="0" applyFont="1" applyFill="1" applyBorder="1" applyAlignment="1">
      <alignment horizontal="center" vertical="center"/>
    </xf>
    <xf numFmtId="6" fontId="11" fillId="3" borderId="3" xfId="1" applyNumberFormat="1" applyFont="1" applyFill="1" applyBorder="1" applyAlignment="1">
      <alignment horizontal="center" vertical="center"/>
    </xf>
    <xf numFmtId="42" fontId="3" fillId="10" borderId="3" xfId="0" applyNumberFormat="1" applyFont="1" applyFill="1" applyBorder="1" applyAlignment="1">
      <alignment horizontal="center"/>
    </xf>
    <xf numFmtId="0" fontId="3" fillId="14" borderId="61" xfId="0" quotePrefix="1" applyFont="1" applyFill="1" applyBorder="1" applyAlignment="1">
      <alignment horizontal="right" vertical="center" wrapText="1"/>
    </xf>
    <xf numFmtId="0" fontId="3" fillId="14" borderId="66" xfId="0" quotePrefix="1" applyFont="1" applyFill="1" applyBorder="1" applyAlignment="1">
      <alignment horizontal="center" vertical="center"/>
    </xf>
    <xf numFmtId="0" fontId="11" fillId="0" borderId="37" xfId="0" applyFont="1" applyBorder="1" applyAlignment="1">
      <alignment vertical="center" wrapText="1"/>
    </xf>
    <xf numFmtId="0" fontId="3" fillId="0" borderId="20" xfId="0" applyFont="1" applyBorder="1" applyAlignment="1">
      <alignment horizontal="right" vertical="center" wrapText="1"/>
    </xf>
    <xf numFmtId="0" fontId="43" fillId="0" borderId="1" xfId="0" applyFont="1" applyBorder="1" applyAlignment="1">
      <alignment horizontal="right" vertical="center" wrapText="1"/>
    </xf>
    <xf numFmtId="0" fontId="43" fillId="0" borderId="17" xfId="0" applyFont="1" applyBorder="1" applyAlignment="1">
      <alignment horizontal="right" vertical="center" wrapText="1"/>
    </xf>
    <xf numFmtId="0" fontId="3" fillId="0" borderId="41" xfId="0" applyFont="1" applyBorder="1" applyAlignment="1">
      <alignment vertical="center"/>
    </xf>
    <xf numFmtId="0" fontId="41" fillId="9" borderId="4" xfId="0" applyFont="1" applyFill="1" applyBorder="1" applyAlignment="1">
      <alignment horizontal="right" vertical="center" wrapText="1"/>
    </xf>
    <xf numFmtId="0" fontId="9" fillId="0" borderId="0" xfId="0" applyFont="1" applyAlignment="1">
      <alignment vertical="center" wrapText="1"/>
    </xf>
    <xf numFmtId="44" fontId="9" fillId="0" borderId="18" xfId="0" applyNumberFormat="1" applyFont="1" applyBorder="1" applyAlignment="1">
      <alignment horizontal="center" vertical="center"/>
    </xf>
    <xf numFmtId="44" fontId="9" fillId="0" borderId="46" xfId="0" applyNumberFormat="1" applyFont="1" applyBorder="1" applyAlignment="1">
      <alignment vertical="center"/>
    </xf>
    <xf numFmtId="0" fontId="11" fillId="12" borderId="9" xfId="0" applyFont="1" applyFill="1" applyBorder="1" applyAlignment="1">
      <alignment horizontal="center" vertical="center"/>
    </xf>
    <xf numFmtId="44" fontId="9" fillId="0" borderId="1" xfId="0" applyNumberFormat="1" applyFont="1" applyBorder="1" applyAlignment="1">
      <alignment vertical="center"/>
    </xf>
    <xf numFmtId="44" fontId="9" fillId="0" borderId="0" xfId="0" applyNumberFormat="1" applyFont="1" applyAlignment="1">
      <alignment vertical="center"/>
    </xf>
    <xf numFmtId="44" fontId="11" fillId="2" borderId="3" xfId="0" applyNumberFormat="1" applyFont="1" applyFill="1" applyBorder="1" applyAlignment="1">
      <alignment horizontal="center" vertical="center"/>
    </xf>
    <xf numFmtId="42" fontId="9" fillId="15" borderId="3" xfId="0" applyNumberFormat="1" applyFont="1" applyFill="1" applyBorder="1" applyAlignment="1">
      <alignment vertical="center"/>
    </xf>
    <xf numFmtId="44" fontId="11" fillId="0" borderId="0" xfId="0" applyNumberFormat="1" applyFont="1" applyAlignment="1">
      <alignment vertical="center"/>
    </xf>
    <xf numFmtId="0" fontId="11" fillId="2" borderId="4" xfId="0" applyFont="1" applyFill="1" applyBorder="1" applyAlignment="1">
      <alignment vertical="center" wrapText="1"/>
    </xf>
    <xf numFmtId="44" fontId="11" fillId="2" borderId="40" xfId="0" applyNumberFormat="1" applyFont="1" applyFill="1" applyBorder="1" applyAlignment="1">
      <alignment vertical="center"/>
    </xf>
    <xf numFmtId="171" fontId="11" fillId="2" borderId="3" xfId="0" applyNumberFormat="1" applyFont="1" applyFill="1" applyBorder="1" applyAlignment="1">
      <alignment horizontal="center" vertical="center"/>
    </xf>
    <xf numFmtId="0" fontId="11" fillId="2" borderId="70"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0" fontId="9" fillId="4" borderId="11" xfId="0" applyFont="1" applyFill="1" applyBorder="1" applyAlignment="1">
      <alignment vertical="center"/>
    </xf>
    <xf numFmtId="42" fontId="9" fillId="4" borderId="11" xfId="0" applyNumberFormat="1" applyFont="1" applyFill="1" applyBorder="1" applyAlignment="1">
      <alignment vertical="center"/>
    </xf>
    <xf numFmtId="42" fontId="9" fillId="15" borderId="11" xfId="0" applyNumberFormat="1" applyFont="1" applyFill="1" applyBorder="1" applyAlignment="1">
      <alignment vertical="center"/>
    </xf>
    <xf numFmtId="1" fontId="9" fillId="4" borderId="12" xfId="0" applyNumberFormat="1" applyFont="1" applyFill="1" applyBorder="1" applyAlignment="1">
      <alignment horizontal="center" vertical="center"/>
    </xf>
    <xf numFmtId="42" fontId="9" fillId="15" borderId="1" xfId="0" applyNumberFormat="1" applyFont="1" applyFill="1" applyBorder="1" applyAlignment="1">
      <alignment vertical="center"/>
    </xf>
    <xf numFmtId="42" fontId="9" fillId="0" borderId="1" xfId="0" applyNumberFormat="1" applyFont="1" applyBorder="1" applyAlignment="1">
      <alignment vertical="center"/>
    </xf>
    <xf numFmtId="42" fontId="9" fillId="0" borderId="1" xfId="0" applyNumberFormat="1" applyFont="1" applyBorder="1" applyAlignment="1">
      <alignment horizontal="center" vertical="center"/>
    </xf>
    <xf numFmtId="1" fontId="9" fillId="0" borderId="13" xfId="0" applyNumberFormat="1" applyFont="1" applyBorder="1" applyAlignment="1">
      <alignment horizontal="center" vertical="center"/>
    </xf>
    <xf numFmtId="42" fontId="9" fillId="0" borderId="6" xfId="0" applyNumberFormat="1" applyFont="1" applyBorder="1" applyAlignment="1">
      <alignment vertical="center"/>
    </xf>
    <xf numFmtId="42" fontId="9" fillId="0" borderId="6" xfId="0" applyNumberFormat="1" applyFont="1" applyBorder="1" applyAlignment="1">
      <alignment horizontal="center" vertical="center"/>
    </xf>
    <xf numFmtId="1" fontId="9" fillId="0" borderId="65" xfId="0" applyNumberFormat="1" applyFont="1" applyBorder="1" applyAlignment="1">
      <alignment horizontal="center" vertical="center"/>
    </xf>
    <xf numFmtId="42" fontId="9" fillId="0" borderId="11" xfId="0" applyNumberFormat="1" applyFont="1" applyBorder="1" applyAlignment="1">
      <alignment vertical="center"/>
    </xf>
    <xf numFmtId="0" fontId="9" fillId="0" borderId="11" xfId="0" applyFont="1" applyBorder="1" applyAlignment="1">
      <alignment vertical="center"/>
    </xf>
    <xf numFmtId="1" fontId="9" fillId="0" borderId="12" xfId="0" applyNumberFormat="1" applyFont="1" applyBorder="1" applyAlignment="1">
      <alignment horizontal="center" vertical="center"/>
    </xf>
    <xf numFmtId="42" fontId="9" fillId="0" borderId="1" xfId="0" quotePrefix="1" applyNumberFormat="1" applyFont="1" applyBorder="1" applyAlignment="1">
      <alignment vertical="center"/>
    </xf>
    <xf numFmtId="1" fontId="9" fillId="0" borderId="13" xfId="0" quotePrefix="1" applyNumberFormat="1" applyFont="1" applyBorder="1" applyAlignment="1">
      <alignment horizontal="center" vertical="center"/>
    </xf>
    <xf numFmtId="0" fontId="9" fillId="4" borderId="1" xfId="0" applyFont="1" applyFill="1" applyBorder="1" applyAlignment="1">
      <alignment vertical="center" wrapText="1"/>
    </xf>
    <xf numFmtId="42" fontId="9" fillId="4" borderId="1" xfId="0" applyNumberFormat="1" applyFont="1" applyFill="1" applyBorder="1" applyAlignment="1">
      <alignment vertical="center"/>
    </xf>
    <xf numFmtId="42" fontId="9" fillId="15" borderId="1" xfId="0" applyNumberFormat="1" applyFont="1" applyFill="1" applyBorder="1" applyAlignment="1">
      <alignment horizontal="center" vertical="center"/>
    </xf>
    <xf numFmtId="42" fontId="9" fillId="4" borderId="1" xfId="0" applyNumberFormat="1" applyFont="1" applyFill="1" applyBorder="1" applyAlignment="1">
      <alignment horizontal="center" vertical="center"/>
    </xf>
    <xf numFmtId="1" fontId="9" fillId="4" borderId="13" xfId="0" applyNumberFormat="1" applyFont="1" applyFill="1" applyBorder="1" applyAlignment="1">
      <alignment horizontal="center" vertical="center"/>
    </xf>
    <xf numFmtId="0" fontId="24" fillId="18" borderId="1" xfId="0" applyFont="1" applyFill="1" applyBorder="1" applyAlignment="1">
      <alignment vertical="center" wrapText="1"/>
    </xf>
    <xf numFmtId="0" fontId="24" fillId="18" borderId="20" xfId="0" applyFont="1" applyFill="1" applyBorder="1" applyAlignment="1">
      <alignment vertical="center" wrapText="1"/>
    </xf>
    <xf numFmtId="44" fontId="71" fillId="0" borderId="20" xfId="0" applyNumberFormat="1" applyFont="1" applyBorder="1" applyAlignment="1">
      <alignment vertical="center"/>
    </xf>
    <xf numFmtId="0" fontId="9" fillId="0" borderId="20" xfId="0" applyFont="1" applyBorder="1" applyAlignment="1">
      <alignment vertical="center"/>
    </xf>
    <xf numFmtId="0" fontId="9" fillId="0" borderId="21" xfId="0" applyFont="1" applyBorder="1" applyAlignment="1">
      <alignment vertical="center"/>
    </xf>
    <xf numFmtId="42" fontId="9" fillId="0" borderId="11" xfId="0" applyNumberFormat="1" applyFont="1" applyBorder="1" applyAlignment="1">
      <alignment horizontal="center" vertical="center"/>
    </xf>
    <xf numFmtId="0" fontId="72" fillId="0" borderId="1" xfId="0" applyFont="1" applyBorder="1" applyAlignment="1">
      <alignment vertical="center" wrapText="1"/>
    </xf>
    <xf numFmtId="42" fontId="9" fillId="0" borderId="20" xfId="0" applyNumberFormat="1" applyFont="1" applyBorder="1" applyAlignment="1">
      <alignment vertical="center"/>
    </xf>
    <xf numFmtId="1" fontId="9" fillId="0" borderId="21" xfId="0" applyNumberFormat="1" applyFont="1" applyBorder="1" applyAlignment="1">
      <alignment horizontal="center" vertical="center"/>
    </xf>
    <xf numFmtId="42" fontId="43" fillId="3" borderId="4" xfId="0" applyNumberFormat="1" applyFont="1" applyFill="1" applyBorder="1" applyAlignment="1">
      <alignment horizontal="center" vertical="center"/>
    </xf>
    <xf numFmtId="42" fontId="11" fillId="3" borderId="4" xfId="0" applyNumberFormat="1" applyFont="1" applyFill="1" applyBorder="1" applyAlignment="1">
      <alignment vertical="center"/>
    </xf>
    <xf numFmtId="1" fontId="11" fillId="3" borderId="5" xfId="0" applyNumberFormat="1" applyFont="1" applyFill="1" applyBorder="1" applyAlignment="1">
      <alignment horizontal="center" vertical="center"/>
    </xf>
    <xf numFmtId="42" fontId="9" fillId="0" borderId="0" xfId="0" applyNumberFormat="1" applyFont="1" applyAlignment="1">
      <alignment vertical="center"/>
    </xf>
    <xf numFmtId="44" fontId="9" fillId="0" borderId="39" xfId="0" applyNumberFormat="1" applyFont="1" applyBorder="1" applyAlignment="1">
      <alignment vertical="center"/>
    </xf>
    <xf numFmtId="44" fontId="11" fillId="2" borderId="19" xfId="0" applyNumberFormat="1" applyFont="1" applyFill="1" applyBorder="1" applyAlignment="1">
      <alignment horizontal="center" vertical="center"/>
    </xf>
    <xf numFmtId="42" fontId="9" fillId="15" borderId="38" xfId="0" applyNumberFormat="1" applyFont="1" applyFill="1" applyBorder="1" applyAlignment="1">
      <alignment horizontal="center" vertical="center"/>
    </xf>
    <xf numFmtId="42" fontId="9" fillId="15" borderId="20" xfId="0" applyNumberFormat="1" applyFont="1" applyFill="1" applyBorder="1" applyAlignment="1">
      <alignment horizontal="center" vertical="center"/>
    </xf>
    <xf numFmtId="42" fontId="9" fillId="0" borderId="20" xfId="0" applyNumberFormat="1" applyFont="1" applyBorder="1" applyAlignment="1">
      <alignment horizontal="center" vertical="center"/>
    </xf>
    <xf numFmtId="10" fontId="9" fillId="0" borderId="20" xfId="0" applyNumberFormat="1" applyFont="1" applyBorder="1" applyAlignment="1">
      <alignment horizontal="center" vertical="center"/>
    </xf>
    <xf numFmtId="42" fontId="9" fillId="15" borderId="39" xfId="0" applyNumberFormat="1" applyFont="1" applyFill="1" applyBorder="1" applyAlignment="1">
      <alignment horizontal="center" vertical="center"/>
    </xf>
    <xf numFmtId="42" fontId="9" fillId="15" borderId="17" xfId="0" applyNumberFormat="1" applyFont="1" applyFill="1" applyBorder="1" applyAlignment="1">
      <alignment horizontal="center" vertical="center"/>
    </xf>
    <xf numFmtId="42" fontId="9" fillId="0" borderId="17" xfId="0" applyNumberFormat="1" applyFont="1" applyBorder="1" applyAlignment="1">
      <alignment horizontal="center" vertical="center"/>
    </xf>
    <xf numFmtId="42" fontId="9" fillId="15" borderId="41" xfId="0" applyNumberFormat="1" applyFont="1" applyFill="1" applyBorder="1" applyAlignment="1">
      <alignment horizontal="center" vertical="center"/>
    </xf>
    <xf numFmtId="10" fontId="9" fillId="0" borderId="6" xfId="0" applyNumberFormat="1" applyFont="1" applyBorder="1" applyAlignment="1">
      <alignment horizontal="center" vertical="center"/>
    </xf>
    <xf numFmtId="42" fontId="9" fillId="15" borderId="42" xfId="0" applyNumberFormat="1" applyFont="1" applyFill="1" applyBorder="1" applyAlignment="1">
      <alignment horizontal="center" vertical="center"/>
    </xf>
    <xf numFmtId="44" fontId="9" fillId="0" borderId="11" xfId="0" applyNumberFormat="1" applyFont="1" applyBorder="1" applyAlignment="1">
      <alignment vertical="center" wrapText="1"/>
    </xf>
    <xf numFmtId="168" fontId="9" fillId="0" borderId="38" xfId="0" applyNumberFormat="1" applyFont="1" applyBorder="1" applyAlignment="1">
      <alignment horizontal="center" vertical="center"/>
    </xf>
    <xf numFmtId="44" fontId="9" fillId="0" borderId="1" xfId="0" applyNumberFormat="1" applyFont="1" applyBorder="1" applyAlignment="1">
      <alignment vertical="center" wrapText="1"/>
    </xf>
    <xf numFmtId="168" fontId="9" fillId="0" borderId="37" xfId="0" applyNumberFormat="1" applyFont="1" applyBorder="1" applyAlignment="1">
      <alignment horizontal="center" vertical="center"/>
    </xf>
    <xf numFmtId="168" fontId="9" fillId="0" borderId="39" xfId="0" applyNumberFormat="1" applyFont="1" applyBorder="1" applyAlignment="1">
      <alignment horizontal="center" vertical="center"/>
    </xf>
    <xf numFmtId="42" fontId="9" fillId="0" borderId="1" xfId="0" applyNumberFormat="1" applyFont="1" applyBorder="1" applyAlignment="1">
      <alignment vertical="center" wrapText="1"/>
    </xf>
    <xf numFmtId="42" fontId="9" fillId="0" borderId="20" xfId="0" applyNumberFormat="1" applyFont="1" applyBorder="1" applyAlignment="1">
      <alignment vertical="center" wrapText="1"/>
    </xf>
    <xf numFmtId="168" fontId="9" fillId="0" borderId="37" xfId="0" applyNumberFormat="1" applyFont="1" applyBorder="1" applyAlignment="1">
      <alignment horizontal="center" vertical="center" wrapText="1"/>
    </xf>
    <xf numFmtId="168" fontId="9" fillId="0" borderId="39" xfId="0" applyNumberFormat="1" applyFont="1" applyBorder="1" applyAlignment="1">
      <alignment horizontal="center" vertical="center" wrapText="1"/>
    </xf>
    <xf numFmtId="44" fontId="9" fillId="0" borderId="6" xfId="0" applyNumberFormat="1" applyFont="1" applyBorder="1" applyAlignment="1">
      <alignment vertical="center" wrapText="1"/>
    </xf>
    <xf numFmtId="168" fontId="9" fillId="0" borderId="42" xfId="0" applyNumberFormat="1" applyFont="1" applyBorder="1" applyAlignment="1">
      <alignment horizontal="center" vertical="center"/>
    </xf>
    <xf numFmtId="10" fontId="9" fillId="0" borderId="17" xfId="0" applyNumberFormat="1" applyFont="1" applyBorder="1" applyAlignment="1">
      <alignment horizontal="center" vertical="center"/>
    </xf>
    <xf numFmtId="165" fontId="9" fillId="0" borderId="1" xfId="0" applyNumberFormat="1" applyFont="1" applyBorder="1" applyAlignment="1">
      <alignment horizontal="center" vertical="center"/>
    </xf>
    <xf numFmtId="10" fontId="9" fillId="0" borderId="1" xfId="0" applyNumberFormat="1" applyFont="1" applyBorder="1" applyAlignment="1">
      <alignment horizontal="center" vertical="center"/>
    </xf>
    <xf numFmtId="165" fontId="9" fillId="0" borderId="20" xfId="0" applyNumberFormat="1" applyFont="1" applyBorder="1" applyAlignment="1">
      <alignment horizontal="center" vertical="center"/>
    </xf>
    <xf numFmtId="0" fontId="9" fillId="0" borderId="33" xfId="0" applyFont="1" applyBorder="1" applyAlignment="1">
      <alignment horizontal="center" vertical="center"/>
    </xf>
    <xf numFmtId="0" fontId="9" fillId="0" borderId="34" xfId="0" applyFont="1" applyBorder="1" applyAlignment="1">
      <alignment horizontal="center" vertical="center"/>
    </xf>
    <xf numFmtId="0" fontId="9" fillId="0" borderId="64" xfId="0" applyFont="1" applyBorder="1" applyAlignment="1">
      <alignment horizontal="center" vertical="center"/>
    </xf>
    <xf numFmtId="0" fontId="9" fillId="0" borderId="35" xfId="0" applyFont="1" applyBorder="1" applyAlignment="1">
      <alignment horizontal="center" vertical="center"/>
    </xf>
    <xf numFmtId="0" fontId="3" fillId="0" borderId="57" xfId="0" applyFont="1" applyBorder="1" applyAlignment="1">
      <alignment vertical="center" wrapText="1"/>
    </xf>
    <xf numFmtId="0" fontId="41" fillId="23" borderId="48" xfId="0" applyFont="1" applyFill="1" applyBorder="1" applyAlignment="1">
      <alignment horizontal="right" vertical="top" wrapText="1"/>
    </xf>
    <xf numFmtId="0" fontId="27" fillId="0" borderId="0" xfId="0" applyFont="1" applyAlignment="1">
      <alignment vertical="center" wrapText="1"/>
    </xf>
    <xf numFmtId="0" fontId="2" fillId="2" borderId="49" xfId="0" applyFont="1" applyFill="1" applyBorder="1" applyAlignment="1">
      <alignment vertical="center"/>
    </xf>
    <xf numFmtId="0" fontId="0" fillId="0" borderId="56" xfId="0" applyBorder="1" applyAlignment="1">
      <alignment vertical="center" wrapText="1"/>
    </xf>
    <xf numFmtId="0" fontId="0" fillId="0" borderId="57" xfId="0" applyBorder="1" applyAlignment="1">
      <alignment vertical="center" wrapText="1"/>
    </xf>
    <xf numFmtId="44" fontId="3" fillId="3" borderId="32" xfId="0" applyNumberFormat="1" applyFont="1" applyFill="1" applyBorder="1" applyAlignment="1">
      <alignment vertical="center"/>
    </xf>
    <xf numFmtId="42" fontId="3" fillId="23" borderId="29" xfId="0" applyNumberFormat="1" applyFont="1" applyFill="1" applyBorder="1" applyAlignment="1">
      <alignment vertical="center"/>
    </xf>
    <xf numFmtId="0" fontId="3" fillId="23" borderId="24" xfId="0" applyFont="1" applyFill="1" applyBorder="1" applyAlignment="1">
      <alignment horizontal="right" vertical="center"/>
    </xf>
    <xf numFmtId="0" fontId="0" fillId="17" borderId="48" xfId="0" applyFill="1" applyBorder="1" applyAlignment="1">
      <alignment vertical="center"/>
    </xf>
    <xf numFmtId="0" fontId="3" fillId="2" borderId="56" xfId="0" applyFont="1" applyFill="1" applyBorder="1" applyAlignment="1">
      <alignment horizontal="right" vertical="center" wrapText="1"/>
    </xf>
    <xf numFmtId="0" fontId="3" fillId="2" borderId="57" xfId="0" applyFont="1" applyFill="1" applyBorder="1" applyAlignment="1">
      <alignment horizontal="right" vertical="center" wrapText="1"/>
    </xf>
    <xf numFmtId="177" fontId="0" fillId="0" borderId="0" xfId="0" applyNumberFormat="1" applyAlignment="1">
      <alignment vertical="center"/>
    </xf>
    <xf numFmtId="0" fontId="0" fillId="0" borderId="64" xfId="0" applyBorder="1" applyAlignment="1">
      <alignment horizontal="center"/>
    </xf>
    <xf numFmtId="0" fontId="0" fillId="14" borderId="28" xfId="0" applyFill="1" applyBorder="1" applyAlignment="1">
      <alignment horizontal="center" vertical="center"/>
    </xf>
    <xf numFmtId="0" fontId="3" fillId="2" borderId="48" xfId="0" applyFont="1" applyFill="1" applyBorder="1" applyAlignment="1">
      <alignment horizontal="center" vertical="center"/>
    </xf>
    <xf numFmtId="0" fontId="3" fillId="14" borderId="48" xfId="0" applyFont="1" applyFill="1" applyBorder="1" applyAlignment="1">
      <alignment horizontal="right"/>
    </xf>
    <xf numFmtId="0" fontId="3" fillId="3" borderId="36" xfId="0" applyFont="1" applyFill="1" applyBorder="1" applyAlignment="1">
      <alignment horizontal="right"/>
    </xf>
    <xf numFmtId="0" fontId="2" fillId="2" borderId="48" xfId="0" applyFont="1" applyFill="1" applyBorder="1"/>
    <xf numFmtId="0" fontId="2" fillId="2" borderId="19" xfId="0" applyFont="1" applyFill="1" applyBorder="1"/>
    <xf numFmtId="0" fontId="0" fillId="0" borderId="56" xfId="0" quotePrefix="1" applyBorder="1"/>
    <xf numFmtId="0" fontId="0" fillId="0" borderId="54" xfId="0" quotePrefix="1" applyBorder="1"/>
    <xf numFmtId="0" fontId="0" fillId="0" borderId="57" xfId="0" quotePrefix="1" applyBorder="1"/>
    <xf numFmtId="0" fontId="0" fillId="15" borderId="75" xfId="0" applyFill="1" applyBorder="1"/>
    <xf numFmtId="42" fontId="0" fillId="0" borderId="20" xfId="0" applyNumberFormat="1" applyBorder="1" applyAlignment="1">
      <alignment horizontal="right"/>
    </xf>
    <xf numFmtId="0" fontId="29" fillId="0" borderId="0" xfId="0" quotePrefix="1" applyFont="1" applyAlignment="1">
      <alignment horizontal="left"/>
    </xf>
    <xf numFmtId="42" fontId="29" fillId="0" borderId="20" xfId="0" applyNumberFormat="1" applyFont="1" applyBorder="1" applyAlignment="1">
      <alignment horizontal="center"/>
    </xf>
    <xf numFmtId="42" fontId="40" fillId="0" borderId="21" xfId="0" applyNumberFormat="1" applyFont="1" applyBorder="1" applyAlignment="1">
      <alignment horizontal="center" vertical="center"/>
    </xf>
    <xf numFmtId="42" fontId="0" fillId="15" borderId="41" xfId="0" applyNumberFormat="1" applyFill="1" applyBorder="1" applyAlignment="1">
      <alignment horizontal="center"/>
    </xf>
    <xf numFmtId="42" fontId="0" fillId="15" borderId="37" xfId="0" applyNumberFormat="1" applyFill="1" applyBorder="1" applyAlignment="1">
      <alignment horizontal="center"/>
    </xf>
    <xf numFmtId="42" fontId="0" fillId="15" borderId="39" xfId="0" applyNumberFormat="1" applyFill="1" applyBorder="1" applyAlignment="1">
      <alignment horizontal="center"/>
    </xf>
    <xf numFmtId="42" fontId="3" fillId="3" borderId="40" xfId="0" applyNumberFormat="1" applyFont="1" applyFill="1" applyBorder="1" applyAlignment="1">
      <alignment horizontal="center"/>
    </xf>
    <xf numFmtId="42" fontId="29" fillId="14" borderId="4" xfId="0" applyNumberFormat="1" applyFont="1" applyFill="1" applyBorder="1" applyAlignment="1">
      <alignment horizontal="center"/>
    </xf>
    <xf numFmtId="42" fontId="29" fillId="14" borderId="5" xfId="0" applyNumberFormat="1" applyFont="1" applyFill="1" applyBorder="1" applyAlignment="1">
      <alignment horizontal="center"/>
    </xf>
    <xf numFmtId="0" fontId="2" fillId="2" borderId="70" xfId="0" applyFont="1" applyFill="1" applyBorder="1"/>
    <xf numFmtId="0" fontId="3" fillId="14" borderId="70" xfId="0" applyFont="1" applyFill="1" applyBorder="1" applyAlignment="1">
      <alignment horizontal="right"/>
    </xf>
    <xf numFmtId="0" fontId="0" fillId="15" borderId="10" xfId="0" applyFill="1" applyBorder="1" applyAlignment="1">
      <alignment horizontal="center"/>
    </xf>
    <xf numFmtId="0" fontId="11" fillId="2" borderId="3" xfId="0" applyFont="1" applyFill="1" applyBorder="1"/>
    <xf numFmtId="0" fontId="11" fillId="0" borderId="8" xfId="0" applyFont="1" applyBorder="1"/>
    <xf numFmtId="0" fontId="11" fillId="0" borderId="9" xfId="0" applyFont="1" applyBorder="1"/>
    <xf numFmtId="0" fontId="11" fillId="0" borderId="10" xfId="0" applyFont="1" applyBorder="1"/>
    <xf numFmtId="42" fontId="9" fillId="15" borderId="50" xfId="0" applyNumberFormat="1" applyFont="1" applyFill="1" applyBorder="1" applyAlignment="1">
      <alignment horizontal="center"/>
    </xf>
    <xf numFmtId="42" fontId="9" fillId="15" borderId="72" xfId="0" applyNumberFormat="1" applyFont="1" applyFill="1" applyBorder="1" applyAlignment="1">
      <alignment horizontal="center"/>
    </xf>
    <xf numFmtId="42" fontId="9" fillId="15" borderId="32" xfId="0" applyNumberFormat="1" applyFont="1" applyFill="1" applyBorder="1" applyAlignment="1">
      <alignment horizontal="center"/>
    </xf>
    <xf numFmtId="0" fontId="11" fillId="14" borderId="23" xfId="0" applyFont="1" applyFill="1" applyBorder="1" applyAlignment="1">
      <alignment horizontal="right"/>
    </xf>
    <xf numFmtId="42" fontId="3" fillId="14" borderId="50" xfId="0" applyNumberFormat="1" applyFont="1" applyFill="1" applyBorder="1"/>
    <xf numFmtId="0" fontId="43" fillId="3" borderId="3" xfId="0" applyFont="1" applyFill="1" applyBorder="1" applyAlignment="1">
      <alignment horizontal="right"/>
    </xf>
    <xf numFmtId="42" fontId="41" fillId="3" borderId="28" xfId="0" applyNumberFormat="1" applyFont="1" applyFill="1" applyBorder="1"/>
    <xf numFmtId="42" fontId="41" fillId="3" borderId="3" xfId="0" applyNumberFormat="1" applyFont="1" applyFill="1" applyBorder="1"/>
    <xf numFmtId="44" fontId="41" fillId="3" borderId="24" xfId="0" applyNumberFormat="1" applyFont="1" applyFill="1" applyBorder="1"/>
    <xf numFmtId="175" fontId="41" fillId="15" borderId="3" xfId="0" applyNumberFormat="1" applyFont="1" applyFill="1" applyBorder="1" applyAlignment="1">
      <alignment horizontal="center"/>
    </xf>
    <xf numFmtId="0" fontId="0" fillId="22" borderId="53" xfId="0" applyFill="1" applyBorder="1" applyAlignment="1">
      <alignment horizontal="center" vertical="center"/>
    </xf>
    <xf numFmtId="0" fontId="0" fillId="22" borderId="54" xfId="0" applyFill="1" applyBorder="1" applyAlignment="1">
      <alignment horizontal="center" vertical="center"/>
    </xf>
    <xf numFmtId="0" fontId="0" fillId="22" borderId="57" xfId="0" applyFill="1" applyBorder="1" applyAlignment="1">
      <alignment horizontal="center" vertical="center"/>
    </xf>
    <xf numFmtId="0" fontId="0" fillId="10" borderId="34" xfId="0" applyFill="1" applyBorder="1"/>
    <xf numFmtId="0" fontId="0" fillId="10" borderId="13" xfId="0" applyFill="1" applyBorder="1" applyAlignment="1">
      <alignment horizontal="center"/>
    </xf>
    <xf numFmtId="0" fontId="0" fillId="10" borderId="35" xfId="0" applyFill="1" applyBorder="1"/>
    <xf numFmtId="0" fontId="0" fillId="17" borderId="9" xfId="0" applyFill="1" applyBorder="1" applyAlignment="1">
      <alignment vertical="center"/>
    </xf>
    <xf numFmtId="0" fontId="0" fillId="17" borderId="26" xfId="0" applyFill="1" applyBorder="1" applyAlignment="1">
      <alignment vertical="center"/>
    </xf>
    <xf numFmtId="175" fontId="41" fillId="15" borderId="28" xfId="0" applyNumberFormat="1" applyFont="1" applyFill="1" applyBorder="1" applyAlignment="1">
      <alignment horizontal="center"/>
    </xf>
    <xf numFmtId="0" fontId="3" fillId="2" borderId="8" xfId="0" applyFont="1" applyFill="1" applyBorder="1" applyAlignment="1">
      <alignment horizontal="right"/>
    </xf>
    <xf numFmtId="0" fontId="3" fillId="2" borderId="26" xfId="0" applyFont="1" applyFill="1" applyBorder="1" applyAlignment="1">
      <alignment horizontal="right"/>
    </xf>
    <xf numFmtId="42" fontId="0" fillId="15" borderId="30" xfId="0" applyNumberFormat="1" applyFill="1" applyBorder="1" applyAlignment="1">
      <alignment horizontal="center"/>
    </xf>
    <xf numFmtId="42" fontId="41" fillId="15" borderId="3" xfId="0" applyNumberFormat="1" applyFont="1" applyFill="1" applyBorder="1" applyAlignment="1">
      <alignment horizontal="left"/>
    </xf>
    <xf numFmtId="44" fontId="3" fillId="2" borderId="77" xfId="0" applyNumberFormat="1" applyFont="1" applyFill="1" applyBorder="1" applyAlignment="1">
      <alignment horizontal="center" vertical="center"/>
    </xf>
    <xf numFmtId="42" fontId="9" fillId="0" borderId="73" xfId="0" applyNumberFormat="1" applyFont="1" applyBorder="1" applyAlignment="1">
      <alignment horizontal="center" vertical="center"/>
    </xf>
    <xf numFmtId="42" fontId="9" fillId="15" borderId="68" xfId="0" applyNumberFormat="1" applyFont="1" applyFill="1" applyBorder="1" applyAlignment="1">
      <alignment horizontal="center" vertical="center"/>
    </xf>
    <xf numFmtId="0" fontId="51" fillId="20" borderId="48" xfId="0" applyFont="1" applyFill="1" applyBorder="1" applyAlignment="1">
      <alignment horizontal="center" vertical="center"/>
    </xf>
    <xf numFmtId="0" fontId="52" fillId="20" borderId="19" xfId="0" applyFont="1" applyFill="1" applyBorder="1" applyAlignment="1">
      <alignment vertical="center"/>
    </xf>
    <xf numFmtId="44" fontId="51" fillId="20" borderId="19" xfId="0" applyNumberFormat="1" applyFont="1" applyFill="1" applyBorder="1" applyAlignment="1">
      <alignment vertical="center"/>
    </xf>
    <xf numFmtId="0" fontId="51" fillId="20" borderId="19" xfId="0" applyFont="1" applyFill="1" applyBorder="1" applyAlignment="1">
      <alignment vertical="center"/>
    </xf>
    <xf numFmtId="0" fontId="51" fillId="20" borderId="28" xfId="0" applyFont="1" applyFill="1" applyBorder="1" applyAlignment="1">
      <alignment vertical="center"/>
    </xf>
    <xf numFmtId="0" fontId="38" fillId="0" borderId="0" xfId="0" applyFont="1" applyAlignment="1">
      <alignment vertical="center"/>
    </xf>
    <xf numFmtId="0" fontId="9" fillId="18" borderId="1" xfId="0" applyFont="1" applyFill="1" applyBorder="1" applyAlignment="1">
      <alignment vertical="center" wrapText="1"/>
    </xf>
    <xf numFmtId="0" fontId="9" fillId="18" borderId="20" xfId="0" applyFont="1" applyFill="1" applyBorder="1" applyAlignment="1">
      <alignment vertical="center" wrapText="1"/>
    </xf>
    <xf numFmtId="170" fontId="3" fillId="12" borderId="9" xfId="0" applyNumberFormat="1" applyFont="1" applyFill="1" applyBorder="1" applyAlignment="1">
      <alignment horizontal="center" vertical="center"/>
    </xf>
    <xf numFmtId="0" fontId="0" fillId="0" borderId="24" xfId="0" applyBorder="1" applyAlignment="1">
      <alignment horizontal="left" vertical="center"/>
    </xf>
    <xf numFmtId="0" fontId="3" fillId="12" borderId="3" xfId="0" applyFont="1" applyFill="1" applyBorder="1" applyAlignment="1">
      <alignment horizontal="center" vertical="center"/>
    </xf>
    <xf numFmtId="0" fontId="3" fillId="2" borderId="3" xfId="0" applyFont="1" applyFill="1" applyBorder="1" applyAlignment="1">
      <alignment vertical="center" wrapText="1"/>
    </xf>
    <xf numFmtId="0" fontId="0" fillId="0" borderId="38" xfId="0" quotePrefix="1" applyBorder="1" applyAlignment="1">
      <alignment vertical="top" wrapText="1"/>
    </xf>
    <xf numFmtId="0" fontId="0" fillId="0" borderId="37" xfId="0" applyBorder="1" applyAlignment="1">
      <alignment vertical="top" wrapText="1"/>
    </xf>
    <xf numFmtId="0" fontId="0" fillId="0" borderId="39" xfId="0" quotePrefix="1" applyBorder="1" applyAlignment="1">
      <alignment vertical="top" wrapText="1"/>
    </xf>
    <xf numFmtId="42" fontId="0" fillId="15" borderId="15" xfId="0" applyNumberFormat="1" applyFill="1" applyBorder="1"/>
    <xf numFmtId="42" fontId="0" fillId="15" borderId="10" xfId="0" applyNumberFormat="1" applyFill="1" applyBorder="1"/>
    <xf numFmtId="0" fontId="10" fillId="0" borderId="0" xfId="0" applyFont="1"/>
    <xf numFmtId="42" fontId="0" fillId="0" borderId="0" xfId="0" applyNumberFormat="1"/>
    <xf numFmtId="0" fontId="74" fillId="20" borderId="19" xfId="0" applyFont="1" applyFill="1" applyBorder="1" applyAlignment="1">
      <alignment vertical="center"/>
    </xf>
    <xf numFmtId="0" fontId="0" fillId="0" borderId="38" xfId="0" applyBorder="1" applyAlignment="1">
      <alignment vertical="center" wrapText="1"/>
    </xf>
    <xf numFmtId="0" fontId="0" fillId="0" borderId="39" xfId="0" applyBorder="1" applyAlignment="1">
      <alignment vertical="center" wrapText="1"/>
    </xf>
    <xf numFmtId="44" fontId="3" fillId="15" borderId="15" xfId="0" applyNumberFormat="1" applyFont="1" applyFill="1" applyBorder="1" applyAlignment="1">
      <alignment horizontal="center" vertical="center"/>
    </xf>
    <xf numFmtId="0" fontId="0" fillId="0" borderId="14" xfId="0" applyBorder="1"/>
    <xf numFmtId="44" fontId="0" fillId="15" borderId="45" xfId="0" applyNumberFormat="1" applyFill="1" applyBorder="1" applyAlignment="1">
      <alignment vertical="center"/>
    </xf>
    <xf numFmtId="44" fontId="0" fillId="15" borderId="47" xfId="0" applyNumberFormat="1" applyFill="1" applyBorder="1" applyAlignment="1">
      <alignment vertical="center"/>
    </xf>
    <xf numFmtId="44" fontId="0" fillId="15" borderId="31" xfId="0" applyNumberFormat="1" applyFill="1" applyBorder="1" applyAlignment="1">
      <alignment vertical="center"/>
    </xf>
    <xf numFmtId="44" fontId="0" fillId="15" borderId="32" xfId="0" applyNumberFormat="1" applyFill="1" applyBorder="1" applyAlignment="1">
      <alignment vertical="center"/>
    </xf>
    <xf numFmtId="44" fontId="3" fillId="0" borderId="8" xfId="0" applyNumberFormat="1" applyFont="1" applyBorder="1" applyAlignment="1">
      <alignment horizontal="right" vertical="center"/>
    </xf>
    <xf numFmtId="44" fontId="3" fillId="0" borderId="26" xfId="0" applyNumberFormat="1" applyFont="1" applyBorder="1" applyAlignment="1">
      <alignment horizontal="right" vertical="center"/>
    </xf>
    <xf numFmtId="44" fontId="0" fillId="15" borderId="8" xfId="0" applyNumberFormat="1" applyFill="1" applyBorder="1" applyAlignment="1">
      <alignment horizontal="center" vertical="center"/>
    </xf>
    <xf numFmtId="44" fontId="0" fillId="15" borderId="26" xfId="0" applyNumberFormat="1" applyFill="1" applyBorder="1" applyAlignment="1">
      <alignment horizontal="center" vertical="center"/>
    </xf>
    <xf numFmtId="44" fontId="3" fillId="15" borderId="45" xfId="0" applyNumberFormat="1" applyFont="1" applyFill="1" applyBorder="1" applyAlignment="1">
      <alignment vertical="center"/>
    </xf>
    <xf numFmtId="44" fontId="3" fillId="15" borderId="76" xfId="0" applyNumberFormat="1" applyFont="1" applyFill="1" applyBorder="1" applyAlignment="1">
      <alignment vertical="center"/>
    </xf>
    <xf numFmtId="0" fontId="2" fillId="5" borderId="3" xfId="0" applyFont="1" applyFill="1" applyBorder="1" applyAlignment="1">
      <alignment vertical="center" wrapText="1"/>
    </xf>
    <xf numFmtId="44" fontId="3" fillId="15" borderId="9" xfId="0" applyNumberFormat="1" applyFont="1" applyFill="1" applyBorder="1" applyAlignment="1">
      <alignment horizontal="center" vertical="center"/>
    </xf>
    <xf numFmtId="44" fontId="3" fillId="15" borderId="26" xfId="0" applyNumberFormat="1" applyFont="1" applyFill="1" applyBorder="1" applyAlignment="1">
      <alignment horizontal="center" vertical="center"/>
    </xf>
    <xf numFmtId="44" fontId="3" fillId="3" borderId="73" xfId="0" applyNumberFormat="1" applyFont="1" applyFill="1" applyBorder="1" applyAlignment="1">
      <alignment vertical="center"/>
    </xf>
    <xf numFmtId="42" fontId="3" fillId="20" borderId="3" xfId="0" applyNumberFormat="1" applyFont="1" applyFill="1" applyBorder="1" applyAlignment="1">
      <alignment horizontal="center" vertical="center"/>
    </xf>
    <xf numFmtId="42" fontId="3" fillId="6" borderId="3" xfId="0" applyNumberFormat="1" applyFont="1" applyFill="1" applyBorder="1" applyAlignment="1">
      <alignment horizontal="center" vertical="center"/>
    </xf>
    <xf numFmtId="42" fontId="11" fillId="14" borderId="3" xfId="0" applyNumberFormat="1" applyFont="1" applyFill="1" applyBorder="1" applyAlignment="1">
      <alignment horizontal="center" vertical="center"/>
    </xf>
    <xf numFmtId="42" fontId="33" fillId="0" borderId="10" xfId="0" applyNumberFormat="1" applyFont="1" applyBorder="1" applyAlignment="1">
      <alignment horizontal="center" vertical="center"/>
    </xf>
    <xf numFmtId="42" fontId="33" fillId="0" borderId="24" xfId="0" applyNumberFormat="1" applyFont="1" applyBorder="1" applyAlignment="1">
      <alignment horizontal="center" vertical="center"/>
    </xf>
    <xf numFmtId="42" fontId="11" fillId="14" borderId="14" xfId="0" applyNumberFormat="1" applyFont="1" applyFill="1" applyBorder="1" applyAlignment="1">
      <alignment horizontal="center" vertical="center"/>
    </xf>
    <xf numFmtId="42" fontId="33" fillId="6" borderId="14" xfId="0" applyNumberFormat="1" applyFont="1" applyFill="1" applyBorder="1" applyAlignment="1">
      <alignment horizontal="center" vertical="center"/>
    </xf>
    <xf numFmtId="42" fontId="33" fillId="6" borderId="3" xfId="0" applyNumberFormat="1" applyFont="1" applyFill="1" applyBorder="1" applyAlignment="1">
      <alignment horizontal="center" vertical="center"/>
    </xf>
    <xf numFmtId="42" fontId="11" fillId="15" borderId="9" xfId="0" applyNumberFormat="1" applyFont="1" applyFill="1" applyBorder="1" applyAlignment="1">
      <alignment horizontal="center" vertical="center"/>
    </xf>
    <xf numFmtId="42" fontId="33" fillId="17" borderId="10" xfId="0" applyNumberFormat="1" applyFont="1" applyFill="1" applyBorder="1" applyAlignment="1">
      <alignment horizontal="center" vertical="center"/>
    </xf>
    <xf numFmtId="42" fontId="61" fillId="0" borderId="26" xfId="0" quotePrefix="1" applyNumberFormat="1" applyFont="1" applyBorder="1" applyAlignment="1">
      <alignment horizontal="center" vertical="center"/>
    </xf>
    <xf numFmtId="42" fontId="33" fillId="0" borderId="15" xfId="0" applyNumberFormat="1" applyFont="1" applyBorder="1" applyAlignment="1">
      <alignment horizontal="center" vertical="center"/>
    </xf>
    <xf numFmtId="42" fontId="33" fillId="0" borderId="14" xfId="0" applyNumberFormat="1" applyFont="1" applyBorder="1" applyAlignment="1">
      <alignment horizontal="center" vertical="center"/>
    </xf>
    <xf numFmtId="42" fontId="3" fillId="0" borderId="15" xfId="0" applyNumberFormat="1" applyFont="1" applyBorder="1" applyAlignment="1">
      <alignment horizontal="center" vertical="center"/>
    </xf>
    <xf numFmtId="42" fontId="3" fillId="14" borderId="3" xfId="0" applyNumberFormat="1" applyFont="1" applyFill="1" applyBorder="1" applyAlignment="1">
      <alignment horizontal="center" vertical="center"/>
    </xf>
    <xf numFmtId="42" fontId="3" fillId="15" borderId="15" xfId="0" applyNumberFormat="1" applyFont="1" applyFill="1" applyBorder="1" applyAlignment="1">
      <alignment horizontal="center" vertical="center"/>
    </xf>
    <xf numFmtId="42" fontId="3" fillId="0" borderId="9" xfId="0" applyNumberFormat="1" applyFont="1" applyBorder="1" applyAlignment="1">
      <alignment horizontal="center" vertical="center"/>
    </xf>
    <xf numFmtId="42" fontId="3" fillId="15" borderId="10" xfId="0" applyNumberFormat="1" applyFont="1" applyFill="1" applyBorder="1" applyAlignment="1">
      <alignment horizontal="center" vertical="center"/>
    </xf>
    <xf numFmtId="42" fontId="2" fillId="14" borderId="3" xfId="0" applyNumberFormat="1" applyFont="1" applyFill="1" applyBorder="1" applyAlignment="1">
      <alignment horizontal="center" vertical="center"/>
    </xf>
    <xf numFmtId="42" fontId="2" fillId="3" borderId="3" xfId="0" applyNumberFormat="1" applyFont="1" applyFill="1" applyBorder="1" applyAlignment="1">
      <alignment horizontal="center" vertical="center"/>
    </xf>
    <xf numFmtId="42" fontId="3" fillId="0" borderId="14" xfId="0" applyNumberFormat="1" applyFont="1" applyBorder="1" applyAlignment="1">
      <alignment horizontal="center" vertical="center"/>
    </xf>
    <xf numFmtId="42" fontId="61" fillId="0" borderId="9" xfId="0" quotePrefix="1" applyNumberFormat="1" applyFont="1" applyBorder="1" applyAlignment="1">
      <alignment horizontal="center" vertical="center"/>
    </xf>
    <xf numFmtId="42" fontId="2" fillId="15" borderId="9" xfId="0" applyNumberFormat="1" applyFont="1" applyFill="1" applyBorder="1" applyAlignment="1">
      <alignment horizontal="center" vertical="center"/>
    </xf>
    <xf numFmtId="42" fontId="3" fillId="15" borderId="14" xfId="0" applyNumberFormat="1" applyFont="1" applyFill="1" applyBorder="1" applyAlignment="1">
      <alignment horizontal="center" vertical="center"/>
    </xf>
    <xf numFmtId="42" fontId="3" fillId="20" borderId="19" xfId="0" applyNumberFormat="1" applyFont="1" applyFill="1" applyBorder="1" applyAlignment="1">
      <alignment horizontal="center" vertical="center"/>
    </xf>
    <xf numFmtId="42" fontId="3" fillId="15" borderId="45" xfId="0" applyNumberFormat="1" applyFont="1" applyFill="1" applyBorder="1" applyAlignment="1">
      <alignment horizontal="center" vertical="center"/>
    </xf>
    <xf numFmtId="42" fontId="11" fillId="15" borderId="46" xfId="0" applyNumberFormat="1" applyFont="1" applyFill="1" applyBorder="1" applyAlignment="1">
      <alignment horizontal="center" vertical="center"/>
    </xf>
    <xf numFmtId="42" fontId="3" fillId="15" borderId="46" xfId="0" applyNumberFormat="1" applyFont="1" applyFill="1" applyBorder="1" applyAlignment="1">
      <alignment horizontal="center" vertical="center"/>
    </xf>
    <xf numFmtId="42" fontId="3" fillId="0" borderId="46" xfId="0" applyNumberFormat="1" applyFont="1" applyBorder="1" applyAlignment="1">
      <alignment horizontal="center" vertical="center"/>
    </xf>
    <xf numFmtId="42" fontId="61" fillId="0" borderId="47" xfId="0" quotePrefix="1" applyNumberFormat="1" applyFont="1" applyBorder="1" applyAlignment="1">
      <alignment horizontal="center" vertical="center"/>
    </xf>
    <xf numFmtId="42" fontId="61" fillId="0" borderId="46" xfId="0" quotePrefix="1" applyNumberFormat="1" applyFont="1" applyBorder="1" applyAlignment="1">
      <alignment horizontal="center" vertical="center"/>
    </xf>
    <xf numFmtId="42" fontId="3" fillId="15" borderId="76" xfId="0" applyNumberFormat="1" applyFont="1" applyFill="1" applyBorder="1" applyAlignment="1">
      <alignment horizontal="center" vertical="center"/>
    </xf>
    <xf numFmtId="42" fontId="3" fillId="15" borderId="71" xfId="0" applyNumberFormat="1" applyFont="1" applyFill="1" applyBorder="1" applyAlignment="1">
      <alignment horizontal="center" vertical="center"/>
    </xf>
    <xf numFmtId="42" fontId="3" fillId="0" borderId="71" xfId="0" applyNumberFormat="1" applyFont="1" applyBorder="1" applyAlignment="1">
      <alignment horizontal="center" vertical="center"/>
    </xf>
    <xf numFmtId="42" fontId="2" fillId="14" borderId="19" xfId="0" applyNumberFormat="1" applyFont="1" applyFill="1" applyBorder="1" applyAlignment="1">
      <alignment horizontal="center" vertical="center"/>
    </xf>
    <xf numFmtId="42" fontId="3" fillId="15" borderId="0" xfId="0" applyNumberFormat="1" applyFont="1" applyFill="1" applyAlignment="1">
      <alignment horizontal="center" vertical="center"/>
    </xf>
    <xf numFmtId="42" fontId="3" fillId="3" borderId="19" xfId="0" applyNumberFormat="1" applyFont="1" applyFill="1" applyBorder="1" applyAlignment="1">
      <alignment horizontal="center" vertical="center"/>
    </xf>
    <xf numFmtId="42" fontId="11" fillId="20" borderId="19" xfId="0" applyNumberFormat="1" applyFont="1" applyFill="1" applyBorder="1" applyAlignment="1">
      <alignment horizontal="center" vertical="center"/>
    </xf>
    <xf numFmtId="42" fontId="33" fillId="17" borderId="76" xfId="0" applyNumberFormat="1" applyFont="1" applyFill="1" applyBorder="1" applyAlignment="1">
      <alignment horizontal="center" vertical="center"/>
    </xf>
    <xf numFmtId="42" fontId="27" fillId="2" borderId="3" xfId="0" applyNumberFormat="1" applyFont="1" applyFill="1" applyBorder="1" applyAlignment="1">
      <alignment horizontal="center" vertical="center"/>
    </xf>
    <xf numFmtId="42" fontId="33" fillId="17" borderId="3" xfId="0" applyNumberFormat="1" applyFont="1" applyFill="1" applyBorder="1" applyAlignment="1">
      <alignment horizontal="center" vertical="center"/>
    </xf>
    <xf numFmtId="0" fontId="27" fillId="2" borderId="40" xfId="0" quotePrefix="1" applyFont="1" applyFill="1" applyBorder="1" applyAlignment="1">
      <alignment horizontal="center" vertical="center"/>
    </xf>
    <xf numFmtId="42" fontId="3" fillId="0" borderId="10" xfId="0" applyNumberFormat="1" applyFont="1" applyBorder="1" applyAlignment="1">
      <alignment horizontal="center" vertical="center"/>
    </xf>
    <xf numFmtId="42" fontId="3" fillId="0" borderId="24" xfId="0" applyNumberFormat="1" applyFont="1" applyBorder="1" applyAlignment="1">
      <alignment horizontal="center" vertical="center"/>
    </xf>
    <xf numFmtId="42" fontId="3" fillId="6" borderId="14" xfId="0" applyNumberFormat="1" applyFont="1" applyFill="1" applyBorder="1" applyAlignment="1">
      <alignment horizontal="center" vertical="center"/>
    </xf>
    <xf numFmtId="42" fontId="61" fillId="0" borderId="8" xfId="0" quotePrefix="1" applyNumberFormat="1" applyFont="1" applyBorder="1" applyAlignment="1">
      <alignment horizontal="center" vertical="center"/>
    </xf>
    <xf numFmtId="42" fontId="3" fillId="12" borderId="26" xfId="0" applyNumberFormat="1" applyFont="1" applyFill="1" applyBorder="1" applyAlignment="1">
      <alignment horizontal="center" vertical="center"/>
    </xf>
    <xf numFmtId="42" fontId="3" fillId="14" borderId="14" xfId="0" applyNumberFormat="1" applyFont="1" applyFill="1" applyBorder="1" applyAlignment="1">
      <alignment horizontal="center" vertical="center"/>
    </xf>
    <xf numFmtId="42" fontId="61" fillId="0" borderId="10" xfId="0" quotePrefix="1" applyNumberFormat="1" applyFont="1" applyBorder="1" applyAlignment="1">
      <alignment horizontal="center" vertical="center"/>
    </xf>
    <xf numFmtId="42" fontId="3" fillId="12" borderId="3" xfId="0" applyNumberFormat="1" applyFont="1" applyFill="1" applyBorder="1" applyAlignment="1">
      <alignment horizontal="center" vertical="center"/>
    </xf>
    <xf numFmtId="42" fontId="3" fillId="12" borderId="10" xfId="0" applyNumberFormat="1" applyFont="1" applyFill="1" applyBorder="1" applyAlignment="1">
      <alignment horizontal="center" vertical="center"/>
    </xf>
    <xf numFmtId="42" fontId="3" fillId="12" borderId="15" xfId="0" applyNumberFormat="1" applyFont="1" applyFill="1" applyBorder="1" applyAlignment="1">
      <alignment horizontal="center" vertical="center"/>
    </xf>
    <xf numFmtId="42" fontId="61" fillId="0" borderId="9" xfId="0" applyNumberFormat="1" applyFont="1" applyBorder="1" applyAlignment="1">
      <alignment horizontal="center" vertical="center"/>
    </xf>
    <xf numFmtId="42" fontId="27" fillId="2" borderId="19" xfId="0" applyNumberFormat="1" applyFont="1" applyFill="1" applyBorder="1" applyAlignment="1">
      <alignment horizontal="center" vertical="center"/>
    </xf>
    <xf numFmtId="42" fontId="11" fillId="14" borderId="19" xfId="0" applyNumberFormat="1" applyFont="1" applyFill="1" applyBorder="1" applyAlignment="1">
      <alignment horizontal="center" vertical="center"/>
    </xf>
    <xf numFmtId="42" fontId="33" fillId="0" borderId="76" xfId="0" applyNumberFormat="1" applyFont="1" applyBorder="1" applyAlignment="1">
      <alignment horizontal="center" vertical="center"/>
    </xf>
    <xf numFmtId="42" fontId="33" fillId="0" borderId="19" xfId="0" applyNumberFormat="1" applyFont="1" applyBorder="1" applyAlignment="1">
      <alignment horizontal="center" vertical="center"/>
    </xf>
    <xf numFmtId="42" fontId="33" fillId="0" borderId="52" xfId="0" applyNumberFormat="1" applyFont="1" applyBorder="1" applyAlignment="1">
      <alignment horizontal="center" vertical="center"/>
    </xf>
    <xf numFmtId="42" fontId="30" fillId="6" borderId="19" xfId="0" applyNumberFormat="1" applyFont="1" applyFill="1" applyBorder="1" applyAlignment="1">
      <alignment horizontal="center" vertical="center"/>
    </xf>
    <xf numFmtId="42" fontId="11" fillId="14" borderId="0" xfId="0" applyNumberFormat="1" applyFont="1" applyFill="1" applyAlignment="1">
      <alignment horizontal="center" vertical="center"/>
    </xf>
    <xf numFmtId="42" fontId="33" fillId="17" borderId="19" xfId="0" applyNumberFormat="1" applyFont="1" applyFill="1" applyBorder="1" applyAlignment="1">
      <alignment horizontal="center" vertical="center"/>
    </xf>
    <xf numFmtId="42" fontId="33" fillId="6" borderId="0" xfId="0" applyNumberFormat="1" applyFont="1" applyFill="1" applyAlignment="1">
      <alignment horizontal="center" vertical="center"/>
    </xf>
    <xf numFmtId="42" fontId="33" fillId="6" borderId="19" xfId="0" applyNumberFormat="1" applyFont="1" applyFill="1" applyBorder="1" applyAlignment="1">
      <alignment horizontal="center" vertical="center"/>
    </xf>
    <xf numFmtId="42" fontId="33" fillId="0" borderId="71" xfId="0" applyNumberFormat="1" applyFont="1" applyBorder="1" applyAlignment="1">
      <alignment horizontal="center" vertical="center"/>
    </xf>
    <xf numFmtId="42" fontId="33" fillId="0" borderId="0" xfId="0" applyNumberFormat="1" applyFont="1" applyAlignment="1">
      <alignment horizontal="center" vertical="center"/>
    </xf>
    <xf numFmtId="44" fontId="0" fillId="15" borderId="31" xfId="0" applyNumberFormat="1" applyFill="1" applyBorder="1" applyAlignment="1">
      <alignment horizontal="center" vertical="center"/>
    </xf>
    <xf numFmtId="44" fontId="0" fillId="15" borderId="32" xfId="0" applyNumberFormat="1" applyFill="1" applyBorder="1" applyAlignment="1">
      <alignment horizontal="center" vertical="center"/>
    </xf>
    <xf numFmtId="44" fontId="3" fillId="3" borderId="50" xfId="0" applyNumberFormat="1" applyFont="1" applyFill="1" applyBorder="1" applyAlignment="1">
      <alignment horizontal="center" vertical="center"/>
    </xf>
    <xf numFmtId="44" fontId="0" fillId="15" borderId="45" xfId="0" applyNumberFormat="1" applyFill="1" applyBorder="1" applyAlignment="1">
      <alignment horizontal="center" vertical="center"/>
    </xf>
    <xf numFmtId="44" fontId="0" fillId="15" borderId="47" xfId="0" applyNumberFormat="1" applyFill="1" applyBorder="1" applyAlignment="1">
      <alignment horizontal="center" vertical="center"/>
    </xf>
    <xf numFmtId="44" fontId="3" fillId="3" borderId="22" xfId="0" applyNumberFormat="1" applyFont="1" applyFill="1" applyBorder="1" applyAlignment="1">
      <alignment horizontal="center" vertical="center"/>
    </xf>
    <xf numFmtId="42" fontId="3" fillId="12" borderId="15" xfId="0" applyNumberFormat="1" applyFont="1" applyFill="1" applyBorder="1" applyAlignment="1">
      <alignment vertical="center"/>
    </xf>
    <xf numFmtId="0" fontId="0" fillId="17" borderId="15" xfId="0" applyFill="1" applyBorder="1" applyAlignment="1">
      <alignment vertical="center"/>
    </xf>
    <xf numFmtId="44" fontId="15" fillId="2" borderId="3" xfId="0" applyNumberFormat="1" applyFont="1" applyFill="1" applyBorder="1" applyAlignment="1">
      <alignment horizontal="center" vertical="center"/>
    </xf>
    <xf numFmtId="0" fontId="3" fillId="2" borderId="36" xfId="0" applyFont="1" applyFill="1" applyBorder="1" applyAlignment="1">
      <alignment vertical="center"/>
    </xf>
    <xf numFmtId="0" fontId="3" fillId="3" borderId="36" xfId="0" applyFont="1" applyFill="1" applyBorder="1" applyAlignment="1">
      <alignment horizontal="right" vertical="center"/>
    </xf>
    <xf numFmtId="0" fontId="0" fillId="0" borderId="0" xfId="0" applyAlignment="1">
      <alignment horizontal="left" vertical="center"/>
    </xf>
    <xf numFmtId="44" fontId="0" fillId="0" borderId="0" xfId="0" applyNumberFormat="1" applyAlignment="1">
      <alignment horizontal="left" vertical="center"/>
    </xf>
    <xf numFmtId="0" fontId="3" fillId="2" borderId="50" xfId="0" applyFont="1" applyFill="1" applyBorder="1" applyAlignment="1">
      <alignment horizontal="left" vertical="center" wrapText="1"/>
    </xf>
    <xf numFmtId="0" fontId="3" fillId="3" borderId="24" xfId="0" applyFont="1" applyFill="1" applyBorder="1" applyAlignment="1">
      <alignment horizontal="right" vertical="center"/>
    </xf>
    <xf numFmtId="173" fontId="3" fillId="12" borderId="56" xfId="0" applyNumberFormat="1" applyFont="1" applyFill="1" applyBorder="1" applyAlignment="1">
      <alignment horizontal="center" vertical="center"/>
    </xf>
    <xf numFmtId="42" fontId="3" fillId="12" borderId="8" xfId="0" applyNumberFormat="1" applyFont="1" applyFill="1" applyBorder="1" applyAlignment="1">
      <alignment vertical="center"/>
    </xf>
    <xf numFmtId="42" fontId="3" fillId="12" borderId="26" xfId="0" applyNumberFormat="1" applyFont="1" applyFill="1" applyBorder="1" applyAlignment="1">
      <alignment vertical="center"/>
    </xf>
    <xf numFmtId="0" fontId="0" fillId="0" borderId="15" xfId="0" applyBorder="1"/>
    <xf numFmtId="0" fontId="0" fillId="15" borderId="54" xfId="0" applyFill="1" applyBorder="1" applyAlignment="1">
      <alignment vertical="center" wrapText="1"/>
    </xf>
    <xf numFmtId="0" fontId="0" fillId="15" borderId="57" xfId="0" applyFill="1" applyBorder="1" applyAlignment="1">
      <alignment vertical="center" wrapText="1"/>
    </xf>
    <xf numFmtId="0" fontId="0" fillId="0" borderId="10" xfId="0" applyBorder="1"/>
    <xf numFmtId="0" fontId="3" fillId="3" borderId="23" xfId="0" applyFont="1" applyFill="1" applyBorder="1" applyAlignment="1">
      <alignment horizontal="center"/>
    </xf>
    <xf numFmtId="0" fontId="0" fillId="15" borderId="9" xfId="0" applyFill="1" applyBorder="1" applyAlignment="1">
      <alignment horizontal="center" vertical="center"/>
    </xf>
    <xf numFmtId="0" fontId="0" fillId="15" borderId="26" xfId="0" applyFill="1" applyBorder="1" applyAlignment="1">
      <alignment horizontal="center" vertical="center"/>
    </xf>
    <xf numFmtId="1" fontId="0" fillId="15" borderId="15" xfId="0" applyNumberFormat="1" applyFill="1" applyBorder="1" applyAlignment="1">
      <alignment horizontal="center" vertical="center"/>
    </xf>
    <xf numFmtId="44" fontId="3" fillId="2" borderId="49" xfId="0" applyNumberFormat="1" applyFont="1" applyFill="1" applyBorder="1" applyAlignment="1">
      <alignment horizontal="center" vertical="center"/>
    </xf>
    <xf numFmtId="1" fontId="3" fillId="3" borderId="9" xfId="0" applyNumberFormat="1" applyFont="1" applyFill="1" applyBorder="1" applyAlignment="1">
      <alignment horizontal="center" vertical="center"/>
    </xf>
    <xf numFmtId="0" fontId="0" fillId="0" borderId="44" xfId="0" applyBorder="1" applyAlignment="1">
      <alignment horizontal="center" wrapText="1"/>
    </xf>
    <xf numFmtId="166" fontId="0" fillId="15" borderId="48" xfId="0" applyNumberFormat="1" applyFill="1" applyBorder="1" applyAlignment="1">
      <alignment horizontal="center" vertical="center"/>
    </xf>
    <xf numFmtId="44" fontId="0" fillId="15" borderId="48" xfId="0" quotePrefix="1" applyNumberFormat="1" applyFill="1" applyBorder="1" applyAlignment="1">
      <alignment vertical="center"/>
    </xf>
    <xf numFmtId="178" fontId="3" fillId="7" borderId="5" xfId="0" applyNumberFormat="1" applyFont="1" applyFill="1" applyBorder="1" applyAlignment="1">
      <alignment horizontal="center" vertical="center"/>
    </xf>
    <xf numFmtId="0" fontId="3" fillId="2" borderId="23" xfId="0" applyFont="1" applyFill="1" applyBorder="1" applyAlignment="1">
      <alignment horizontal="left" vertical="center" wrapText="1"/>
    </xf>
    <xf numFmtId="0" fontId="0" fillId="15" borderId="56" xfId="0" applyFill="1" applyBorder="1" applyAlignment="1">
      <alignment vertical="center" wrapText="1"/>
    </xf>
    <xf numFmtId="0" fontId="0" fillId="15" borderId="12" xfId="0" applyFill="1" applyBorder="1" applyAlignment="1">
      <alignment horizontal="center" vertical="center"/>
    </xf>
    <xf numFmtId="0" fontId="0" fillId="12" borderId="54" xfId="0" applyFill="1" applyBorder="1" applyAlignment="1">
      <alignment horizontal="center" vertical="center"/>
    </xf>
    <xf numFmtId="0" fontId="0" fillId="12" borderId="57" xfId="0" applyFill="1" applyBorder="1" applyAlignment="1">
      <alignment horizontal="center" vertical="center"/>
    </xf>
    <xf numFmtId="44" fontId="0" fillId="12" borderId="8" xfId="0" applyNumberFormat="1" applyFill="1" applyBorder="1" applyAlignment="1">
      <alignment vertical="center"/>
    </xf>
    <xf numFmtId="44" fontId="0" fillId="12" borderId="9" xfId="0" applyNumberFormat="1" applyFill="1" applyBorder="1" applyAlignment="1">
      <alignment vertical="center"/>
    </xf>
    <xf numFmtId="44" fontId="0" fillId="12" borderId="26" xfId="0" applyNumberFormat="1" applyFill="1" applyBorder="1" applyAlignment="1">
      <alignment vertical="center"/>
    </xf>
    <xf numFmtId="0" fontId="11" fillId="12" borderId="8" xfId="0" applyFont="1" applyFill="1" applyBorder="1" applyAlignment="1">
      <alignment horizontal="center" vertical="center"/>
    </xf>
    <xf numFmtId="0" fontId="11" fillId="12" borderId="26" xfId="0" applyFont="1" applyFill="1" applyBorder="1" applyAlignment="1">
      <alignment horizontal="center" vertical="center"/>
    </xf>
    <xf numFmtId="0" fontId="3" fillId="3" borderId="60" xfId="0" applyFont="1" applyFill="1" applyBorder="1" applyAlignment="1">
      <alignment horizontal="right" vertical="center"/>
    </xf>
    <xf numFmtId="172" fontId="0" fillId="15" borderId="8" xfId="0" applyNumberFormat="1" applyFill="1" applyBorder="1" applyAlignment="1">
      <alignment horizontal="center" vertical="center"/>
    </xf>
    <xf numFmtId="172" fontId="0" fillId="15" borderId="9" xfId="0" applyNumberFormat="1" applyFill="1" applyBorder="1" applyAlignment="1">
      <alignment horizontal="center" vertical="center"/>
    </xf>
    <xf numFmtId="172" fontId="0" fillId="15" borderId="26" xfId="0" applyNumberFormat="1" applyFill="1" applyBorder="1" applyAlignment="1">
      <alignment horizontal="center" vertical="center"/>
    </xf>
    <xf numFmtId="0" fontId="0" fillId="10" borderId="6" xfId="0" applyFill="1" applyBorder="1" applyAlignment="1">
      <alignment horizontal="center"/>
    </xf>
    <xf numFmtId="0" fontId="0" fillId="10" borderId="65" xfId="0" applyFill="1" applyBorder="1" applyAlignment="1">
      <alignment horizontal="center"/>
    </xf>
    <xf numFmtId="42" fontId="3" fillId="3" borderId="10" xfId="0" applyNumberFormat="1" applyFont="1" applyFill="1" applyBorder="1" applyAlignment="1">
      <alignment horizontal="center"/>
    </xf>
    <xf numFmtId="0" fontId="3" fillId="3" borderId="40" xfId="0" applyFont="1" applyFill="1" applyBorder="1" applyAlignment="1">
      <alignment horizontal="center"/>
    </xf>
    <xf numFmtId="42" fontId="3" fillId="3" borderId="5" xfId="0" applyNumberFormat="1" applyFont="1" applyFill="1" applyBorder="1" applyAlignment="1">
      <alignment horizontal="center"/>
    </xf>
    <xf numFmtId="0" fontId="0" fillId="10" borderId="43" xfId="0" applyFill="1" applyBorder="1"/>
    <xf numFmtId="167" fontId="0" fillId="10" borderId="17" xfId="0" applyNumberFormat="1" applyFill="1" applyBorder="1" applyAlignment="1">
      <alignment horizontal="center"/>
    </xf>
    <xf numFmtId="0" fontId="0" fillId="10" borderId="17" xfId="0" applyFill="1" applyBorder="1" applyAlignment="1">
      <alignment horizontal="center"/>
    </xf>
    <xf numFmtId="0" fontId="0" fillId="10" borderId="18" xfId="0" applyFill="1" applyBorder="1" applyAlignment="1">
      <alignment horizontal="center"/>
    </xf>
    <xf numFmtId="0" fontId="3" fillId="2" borderId="36" xfId="0" applyFont="1" applyFill="1" applyBorder="1"/>
    <xf numFmtId="44" fontId="3" fillId="3" borderId="15" xfId="0" applyNumberFormat="1" applyFont="1" applyFill="1" applyBorder="1" applyAlignment="1">
      <alignment horizontal="center" vertical="center"/>
    </xf>
    <xf numFmtId="44" fontId="3" fillId="3" borderId="9" xfId="0" applyNumberFormat="1" applyFont="1" applyFill="1" applyBorder="1" applyAlignment="1">
      <alignment horizontal="center" vertical="center"/>
    </xf>
    <xf numFmtId="44" fontId="15" fillId="2" borderId="50" xfId="0" applyNumberFormat="1" applyFont="1" applyFill="1" applyBorder="1" applyAlignment="1">
      <alignment horizontal="center" vertical="center" wrapText="1"/>
    </xf>
    <xf numFmtId="0" fontId="3" fillId="2" borderId="23" xfId="0" applyFont="1" applyFill="1" applyBorder="1" applyAlignment="1">
      <alignment vertical="center" wrapText="1"/>
    </xf>
    <xf numFmtId="0" fontId="0" fillId="0" borderId="9" xfId="0" applyBorder="1" applyAlignment="1">
      <alignment vertical="center" wrapText="1"/>
    </xf>
    <xf numFmtId="0" fontId="3" fillId="12" borderId="10" xfId="0" applyFont="1" applyFill="1" applyBorder="1" applyAlignment="1">
      <alignment horizontal="center" vertical="center"/>
    </xf>
    <xf numFmtId="44" fontId="3" fillId="15" borderId="10" xfId="0" applyNumberFormat="1" applyFont="1" applyFill="1" applyBorder="1" applyAlignment="1">
      <alignment vertical="center"/>
    </xf>
    <xf numFmtId="11" fontId="16" fillId="0" borderId="0" xfId="0" applyNumberFormat="1" applyFont="1" applyAlignment="1">
      <alignment horizontal="right" vertical="center"/>
    </xf>
    <xf numFmtId="42" fontId="11" fillId="15" borderId="8" xfId="0" applyNumberFormat="1" applyFont="1" applyFill="1" applyBorder="1" applyAlignment="1">
      <alignment horizontal="center" vertical="center"/>
    </xf>
    <xf numFmtId="0" fontId="0" fillId="0" borderId="20" xfId="0" quotePrefix="1" applyBorder="1" applyAlignment="1">
      <alignment vertical="center" wrapText="1"/>
    </xf>
    <xf numFmtId="42" fontId="3" fillId="15" borderId="47" xfId="0" applyNumberFormat="1" applyFont="1" applyFill="1" applyBorder="1" applyAlignment="1">
      <alignment horizontal="center" vertical="center"/>
    </xf>
    <xf numFmtId="0" fontId="19" fillId="0" borderId="24" xfId="0" applyFont="1" applyBorder="1" applyAlignment="1">
      <alignment horizontal="right" vertical="center" wrapText="1"/>
    </xf>
    <xf numFmtId="0" fontId="3" fillId="0" borderId="0" xfId="0" applyFont="1" applyAlignment="1">
      <alignment vertical="center"/>
    </xf>
    <xf numFmtId="0" fontId="0" fillId="17" borderId="8" xfId="0" applyFill="1" applyBorder="1" applyAlignment="1">
      <alignment vertical="center"/>
    </xf>
    <xf numFmtId="0" fontId="9" fillId="15" borderId="69" xfId="0" applyFont="1" applyFill="1" applyBorder="1" applyAlignment="1">
      <alignment horizontal="left" vertical="center" wrapText="1"/>
    </xf>
    <xf numFmtId="0" fontId="9" fillId="15" borderId="58" xfId="0" applyFont="1" applyFill="1" applyBorder="1" applyAlignment="1">
      <alignment horizontal="left" vertical="center" wrapText="1"/>
    </xf>
    <xf numFmtId="0" fontId="9" fillId="15" borderId="32" xfId="0" applyFont="1" applyFill="1" applyBorder="1" applyAlignment="1">
      <alignment horizontal="left" vertical="center" wrapText="1"/>
    </xf>
    <xf numFmtId="0" fontId="14" fillId="15" borderId="58" xfId="0" applyFont="1" applyFill="1" applyBorder="1" applyAlignment="1">
      <alignment horizontal="left" vertical="center" wrapText="1"/>
    </xf>
    <xf numFmtId="0" fontId="14" fillId="15" borderId="31" xfId="0" applyFont="1" applyFill="1" applyBorder="1" applyAlignment="1">
      <alignment horizontal="left" vertical="center" wrapText="1"/>
    </xf>
    <xf numFmtId="0" fontId="14" fillId="15" borderId="32" xfId="0" applyFont="1" applyFill="1" applyBorder="1" applyAlignment="1">
      <alignment horizontal="left" vertical="center" wrapText="1"/>
    </xf>
    <xf numFmtId="44" fontId="9" fillId="15" borderId="31" xfId="0" applyNumberFormat="1" applyFont="1" applyFill="1" applyBorder="1" applyAlignment="1">
      <alignment horizontal="left" vertical="center" wrapText="1"/>
    </xf>
    <xf numFmtId="44" fontId="9" fillId="15" borderId="58" xfId="0" applyNumberFormat="1" applyFont="1" applyFill="1" applyBorder="1" applyAlignment="1">
      <alignment horizontal="left" vertical="center" wrapText="1"/>
    </xf>
    <xf numFmtId="44" fontId="9" fillId="15" borderId="32" xfId="0" applyNumberFormat="1" applyFont="1" applyFill="1" applyBorder="1" applyAlignment="1">
      <alignment horizontal="left" vertical="center" wrapText="1"/>
    </xf>
    <xf numFmtId="0" fontId="9" fillId="0" borderId="11" xfId="0" applyFont="1" applyBorder="1" applyAlignment="1">
      <alignment vertical="center" wrapText="1"/>
    </xf>
    <xf numFmtId="0" fontId="8" fillId="0" borderId="10" xfId="0" applyFont="1" applyBorder="1" applyAlignment="1">
      <alignment vertical="center" wrapText="1"/>
    </xf>
    <xf numFmtId="44" fontId="0" fillId="0" borderId="47" xfId="0" applyNumberFormat="1" applyBorder="1" applyAlignment="1">
      <alignment vertical="center"/>
    </xf>
    <xf numFmtId="0" fontId="49" fillId="0" borderId="35" xfId="0" applyFont="1" applyBorder="1" applyAlignment="1">
      <alignment horizontal="left" vertical="center"/>
    </xf>
    <xf numFmtId="0" fontId="3" fillId="21" borderId="60" xfId="0" applyFont="1" applyFill="1" applyBorder="1" applyAlignment="1">
      <alignment horizontal="right" vertical="center"/>
    </xf>
    <xf numFmtId="167" fontId="3" fillId="15" borderId="62" xfId="0" applyNumberFormat="1" applyFont="1" applyFill="1" applyBorder="1" applyAlignment="1">
      <alignment horizontal="center" vertical="center"/>
    </xf>
    <xf numFmtId="42" fontId="0" fillId="15" borderId="73" xfId="0" applyNumberFormat="1" applyFill="1" applyBorder="1" applyAlignment="1">
      <alignment horizontal="center" vertical="center"/>
    </xf>
    <xf numFmtId="42" fontId="0" fillId="15" borderId="7" xfId="0" applyNumberFormat="1" applyFill="1" applyBorder="1" applyAlignment="1">
      <alignment horizontal="center" vertical="center"/>
    </xf>
    <xf numFmtId="42" fontId="0" fillId="15" borderId="68" xfId="0" applyNumberFormat="1" applyFill="1" applyBorder="1" applyAlignment="1">
      <alignment horizontal="center" vertical="center"/>
    </xf>
    <xf numFmtId="0" fontId="11" fillId="2" borderId="22" xfId="0" applyFont="1" applyFill="1" applyBorder="1" applyAlignment="1">
      <alignment horizontal="left" vertical="center"/>
    </xf>
    <xf numFmtId="0" fontId="11" fillId="2" borderId="77" xfId="0" applyFont="1" applyFill="1" applyBorder="1" applyAlignment="1">
      <alignment horizontal="left" vertical="center"/>
    </xf>
    <xf numFmtId="167" fontId="11" fillId="12" borderId="69" xfId="0" applyNumberFormat="1" applyFont="1" applyFill="1" applyBorder="1" applyAlignment="1">
      <alignment horizontal="center" vertical="center"/>
    </xf>
    <xf numFmtId="44" fontId="9" fillId="0" borderId="38" xfId="0" applyNumberFormat="1" applyFont="1" applyBorder="1" applyAlignment="1">
      <alignment vertical="center"/>
    </xf>
    <xf numFmtId="0" fontId="13" fillId="0" borderId="0" xfId="2"/>
    <xf numFmtId="44" fontId="11" fillId="2" borderId="22" xfId="0" applyNumberFormat="1" applyFont="1" applyFill="1" applyBorder="1" applyAlignment="1">
      <alignment horizontal="center" vertical="center"/>
    </xf>
    <xf numFmtId="44" fontId="9" fillId="0" borderId="45" xfId="0" applyNumberFormat="1" applyFont="1" applyBorder="1" applyAlignment="1">
      <alignment vertical="center"/>
    </xf>
    <xf numFmtId="44" fontId="9" fillId="0" borderId="13" xfId="0" applyNumberFormat="1" applyFont="1" applyBorder="1" applyAlignment="1">
      <alignment horizontal="center" vertical="center"/>
    </xf>
    <xf numFmtId="44" fontId="9" fillId="0" borderId="1" xfId="0" applyNumberFormat="1" applyFont="1" applyBorder="1" applyAlignment="1">
      <alignment horizontal="center" vertical="center"/>
    </xf>
    <xf numFmtId="44" fontId="9" fillId="0" borderId="21" xfId="0" applyNumberFormat="1" applyFont="1" applyBorder="1" applyAlignment="1">
      <alignment horizontal="center" vertical="center"/>
    </xf>
    <xf numFmtId="44" fontId="9" fillId="0" borderId="20" xfId="0" applyNumberFormat="1" applyFont="1" applyBorder="1" applyAlignment="1">
      <alignment horizontal="center" vertical="center"/>
    </xf>
    <xf numFmtId="44" fontId="9" fillId="0" borderId="13" xfId="0" applyNumberFormat="1" applyFont="1" applyBorder="1" applyAlignment="1">
      <alignment vertical="center"/>
    </xf>
    <xf numFmtId="0" fontId="9" fillId="0" borderId="0" xfId="0" applyFont="1" applyAlignment="1">
      <alignment horizontal="left" vertical="center"/>
    </xf>
    <xf numFmtId="0" fontId="9" fillId="0" borderId="0" xfId="0" applyFont="1" applyAlignment="1">
      <alignment horizontal="center" vertical="center"/>
    </xf>
    <xf numFmtId="44" fontId="9" fillId="0" borderId="11" xfId="0" applyNumberFormat="1" applyFont="1" applyBorder="1" applyAlignment="1">
      <alignment horizontal="center" vertical="center"/>
    </xf>
    <xf numFmtId="44" fontId="9" fillId="0" borderId="12" xfId="0" applyNumberFormat="1" applyFont="1" applyBorder="1" applyAlignment="1">
      <alignment horizontal="center" vertical="center"/>
    </xf>
    <xf numFmtId="44" fontId="11" fillId="3" borderId="4" xfId="0" applyNumberFormat="1" applyFont="1" applyFill="1" applyBorder="1" applyAlignment="1">
      <alignment horizontal="center" vertical="center"/>
    </xf>
    <xf numFmtId="44" fontId="11" fillId="3" borderId="5" xfId="0" applyNumberFormat="1" applyFont="1" applyFill="1" applyBorder="1" applyAlignment="1">
      <alignment horizontal="center" vertical="center"/>
    </xf>
    <xf numFmtId="44" fontId="9" fillId="0" borderId="5" xfId="0" applyNumberFormat="1" applyFont="1" applyBorder="1" applyAlignment="1">
      <alignment horizontal="center" vertical="center"/>
    </xf>
    <xf numFmtId="44" fontId="9" fillId="0" borderId="65" xfId="0" applyNumberFormat="1" applyFont="1" applyBorder="1" applyAlignment="1">
      <alignment horizontal="center" vertical="center"/>
    </xf>
    <xf numFmtId="44" fontId="11" fillId="3" borderId="62" xfId="0" applyNumberFormat="1" applyFont="1" applyFill="1" applyBorder="1" applyAlignment="1">
      <alignment horizontal="center" vertical="center"/>
    </xf>
    <xf numFmtId="10" fontId="9" fillId="0" borderId="11" xfId="0" applyNumberFormat="1" applyFont="1" applyBorder="1" applyAlignment="1">
      <alignment horizontal="center" vertical="center"/>
    </xf>
    <xf numFmtId="42" fontId="9" fillId="0" borderId="11" xfId="0" applyNumberFormat="1" applyFont="1" applyBorder="1" applyAlignment="1">
      <alignment vertical="center" wrapText="1"/>
    </xf>
    <xf numFmtId="42" fontId="0" fillId="0" borderId="33" xfId="0" applyNumberFormat="1" applyBorder="1" applyAlignment="1">
      <alignment horizontal="center" vertical="center"/>
    </xf>
    <xf numFmtId="42" fontId="0" fillId="0" borderId="12" xfId="0" applyNumberFormat="1" applyBorder="1" applyAlignment="1">
      <alignment horizontal="center" vertical="center"/>
    </xf>
    <xf numFmtId="42" fontId="0" fillId="15" borderId="35" xfId="0" applyNumberFormat="1" applyFill="1" applyBorder="1" applyAlignment="1">
      <alignment horizontal="center" vertical="center"/>
    </xf>
    <xf numFmtId="42" fontId="0" fillId="15" borderId="21" xfId="0" applyNumberFormat="1" applyFill="1" applyBorder="1" applyAlignment="1">
      <alignment horizontal="center" vertical="center"/>
    </xf>
    <xf numFmtId="0" fontId="11" fillId="2" borderId="60" xfId="0" applyFont="1" applyFill="1" applyBorder="1" applyAlignment="1">
      <alignment horizontal="center" vertical="center"/>
    </xf>
    <xf numFmtId="0" fontId="11" fillId="2" borderId="61" xfId="0" applyFont="1" applyFill="1" applyBorder="1" applyAlignment="1">
      <alignment horizontal="center" vertical="center"/>
    </xf>
    <xf numFmtId="0" fontId="11" fillId="2" borderId="22" xfId="0" applyFont="1" applyFill="1" applyBorder="1" applyAlignment="1">
      <alignment horizontal="center" vertical="center"/>
    </xf>
    <xf numFmtId="42" fontId="9" fillId="0" borderId="33" xfId="0" applyNumberFormat="1" applyFont="1" applyBorder="1" applyAlignment="1">
      <alignment horizontal="center" vertical="center"/>
    </xf>
    <xf numFmtId="168" fontId="9" fillId="0" borderId="38" xfId="0" applyNumberFormat="1" applyFont="1" applyBorder="1" applyAlignment="1">
      <alignment horizontal="center" vertical="center" wrapText="1"/>
    </xf>
    <xf numFmtId="42" fontId="9" fillId="15" borderId="34" xfId="0" applyNumberFormat="1" applyFont="1" applyFill="1" applyBorder="1" applyAlignment="1">
      <alignment horizontal="center" vertical="center"/>
    </xf>
    <xf numFmtId="42" fontId="9" fillId="0" borderId="1" xfId="0" applyNumberFormat="1" applyFont="1" applyBorder="1" applyAlignment="1">
      <alignment horizontal="center" vertical="center" wrapText="1"/>
    </xf>
    <xf numFmtId="42" fontId="9" fillId="15" borderId="35" xfId="0" applyNumberFormat="1" applyFont="1" applyFill="1" applyBorder="1" applyAlignment="1">
      <alignment horizontal="center" vertical="center"/>
    </xf>
    <xf numFmtId="0" fontId="11" fillId="0" borderId="0" xfId="0" applyFont="1" applyAlignment="1">
      <alignment horizontal="right" vertical="center"/>
    </xf>
    <xf numFmtId="0" fontId="25" fillId="0" borderId="0" xfId="2" applyFont="1" applyAlignment="1">
      <alignment horizontal="left" vertical="center"/>
    </xf>
    <xf numFmtId="44" fontId="9" fillId="0" borderId="3" xfId="0" applyNumberFormat="1" applyFont="1" applyBorder="1" applyAlignment="1">
      <alignment horizontal="center" vertical="center"/>
    </xf>
    <xf numFmtId="44" fontId="9" fillId="0" borderId="73" xfId="0" applyNumberFormat="1" applyFont="1" applyBorder="1" applyAlignment="1">
      <alignment vertical="center"/>
    </xf>
    <xf numFmtId="44" fontId="9" fillId="15" borderId="43" xfId="0" applyNumberFormat="1" applyFont="1" applyFill="1" applyBorder="1" applyAlignment="1">
      <alignment horizontal="center" vertical="center"/>
    </xf>
    <xf numFmtId="44" fontId="9" fillId="15" borderId="64" xfId="0" applyNumberFormat="1" applyFont="1" applyFill="1" applyBorder="1" applyAlignment="1">
      <alignment horizontal="center" vertical="center"/>
    </xf>
    <xf numFmtId="44" fontId="9" fillId="0" borderId="43" xfId="0" applyNumberFormat="1" applyFont="1" applyBorder="1" applyAlignment="1">
      <alignment horizontal="center" vertical="center"/>
    </xf>
    <xf numFmtId="44" fontId="9" fillId="15" borderId="34" xfId="0" applyNumberFormat="1" applyFont="1" applyFill="1" applyBorder="1" applyAlignment="1">
      <alignment horizontal="center" vertical="center"/>
    </xf>
    <xf numFmtId="44" fontId="9" fillId="15" borderId="35" xfId="0" applyNumberFormat="1" applyFont="1" applyFill="1" applyBorder="1" applyAlignment="1">
      <alignment horizontal="center" vertical="center"/>
    </xf>
    <xf numFmtId="0" fontId="11" fillId="2" borderId="28" xfId="0" applyFont="1" applyFill="1" applyBorder="1" applyAlignment="1">
      <alignment horizontal="center" vertical="center" wrapText="1"/>
    </xf>
    <xf numFmtId="165" fontId="9" fillId="0" borderId="0" xfId="0" applyNumberFormat="1" applyFont="1" applyAlignment="1">
      <alignment horizontal="center" vertical="center"/>
    </xf>
    <xf numFmtId="165" fontId="9" fillId="15" borderId="34" xfId="0" applyNumberFormat="1" applyFont="1" applyFill="1" applyBorder="1" applyAlignment="1">
      <alignment horizontal="center" vertical="center"/>
    </xf>
    <xf numFmtId="165" fontId="9" fillId="15" borderId="35" xfId="0" applyNumberFormat="1" applyFont="1" applyFill="1" applyBorder="1" applyAlignment="1">
      <alignment horizontal="center" vertical="center"/>
    </xf>
    <xf numFmtId="165" fontId="9" fillId="0" borderId="21" xfId="0" applyNumberFormat="1" applyFont="1" applyBorder="1" applyAlignment="1">
      <alignment horizontal="center" vertical="center"/>
    </xf>
    <xf numFmtId="44" fontId="9" fillId="0" borderId="25" xfId="0" applyNumberFormat="1" applyFont="1" applyBorder="1" applyAlignment="1">
      <alignment horizontal="center" vertical="center"/>
    </xf>
    <xf numFmtId="44" fontId="9" fillId="0" borderId="63" xfId="0" applyNumberFormat="1" applyFont="1" applyBorder="1" applyAlignment="1">
      <alignment horizontal="center" vertical="center"/>
    </xf>
    <xf numFmtId="0" fontId="38" fillId="0" borderId="0" xfId="0" applyFont="1" applyAlignment="1">
      <alignment horizontal="left" vertical="center"/>
    </xf>
    <xf numFmtId="9" fontId="9" fillId="0" borderId="0" xfId="0" applyNumberFormat="1" applyFont="1" applyAlignment="1">
      <alignment horizontal="left" vertical="center" wrapText="1" indent="1"/>
    </xf>
    <xf numFmtId="0" fontId="9" fillId="0" borderId="0" xfId="0" applyFont="1"/>
    <xf numFmtId="0" fontId="11" fillId="2" borderId="4" xfId="0" applyFont="1" applyFill="1" applyBorder="1" applyAlignment="1">
      <alignment horizontal="center" vertical="center" wrapText="1"/>
    </xf>
    <xf numFmtId="0" fontId="11" fillId="2" borderId="5" xfId="0" applyFont="1" applyFill="1" applyBorder="1" applyAlignment="1">
      <alignment horizontal="center" vertical="center" wrapText="1"/>
    </xf>
    <xf numFmtId="42" fontId="3" fillId="12" borderId="56" xfId="0" applyNumberFormat="1" applyFont="1" applyFill="1" applyBorder="1" applyAlignment="1">
      <alignment vertical="center"/>
    </xf>
    <xf numFmtId="42" fontId="3" fillId="12" borderId="54" xfId="0" applyNumberFormat="1" applyFont="1" applyFill="1" applyBorder="1" applyAlignment="1">
      <alignment vertical="center"/>
    </xf>
    <xf numFmtId="42" fontId="3" fillId="12" borderId="57" xfId="0" applyNumberFormat="1" applyFont="1" applyFill="1" applyBorder="1" applyAlignment="1">
      <alignment vertical="center"/>
    </xf>
    <xf numFmtId="9" fontId="3" fillId="12" borderId="8" xfId="0" applyNumberFormat="1" applyFont="1" applyFill="1" applyBorder="1" applyAlignment="1">
      <alignment horizontal="center" vertical="center"/>
    </xf>
    <xf numFmtId="9" fontId="3" fillId="12" borderId="9" xfId="0" applyNumberFormat="1" applyFont="1" applyFill="1" applyBorder="1" applyAlignment="1">
      <alignment horizontal="center" vertical="center"/>
    </xf>
    <xf numFmtId="9" fontId="3" fillId="12" borderId="26" xfId="0" applyNumberFormat="1" applyFont="1" applyFill="1" applyBorder="1" applyAlignment="1">
      <alignment horizontal="center" vertical="center"/>
    </xf>
    <xf numFmtId="42" fontId="11" fillId="15" borderId="26" xfId="0" applyNumberFormat="1" applyFont="1" applyFill="1" applyBorder="1" applyAlignment="1">
      <alignment horizontal="center" vertical="center"/>
    </xf>
    <xf numFmtId="0" fontId="11" fillId="0" borderId="11"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21" xfId="0" applyFont="1" applyBorder="1" applyAlignment="1">
      <alignment horizontal="center" vertical="center" wrapText="1"/>
    </xf>
    <xf numFmtId="0" fontId="2" fillId="22" borderId="0" xfId="0" applyFont="1" applyFill="1" applyAlignment="1">
      <alignment vertical="center" wrapText="1"/>
    </xf>
    <xf numFmtId="0" fontId="3" fillId="3" borderId="5" xfId="0" applyFont="1" applyFill="1" applyBorder="1" applyAlignment="1">
      <alignment horizontal="right" vertical="center" wrapText="1"/>
    </xf>
    <xf numFmtId="0" fontId="61" fillId="0" borderId="42" xfId="0" quotePrefix="1" applyFont="1" applyBorder="1" applyAlignment="1">
      <alignment horizontal="center" vertical="center"/>
    </xf>
    <xf numFmtId="42" fontId="61" fillId="22" borderId="10" xfId="0" applyNumberFormat="1" applyFont="1" applyFill="1" applyBorder="1" applyAlignment="1">
      <alignment horizontal="center" vertical="center"/>
    </xf>
    <xf numFmtId="0" fontId="0" fillId="22" borderId="73" xfId="0" applyFill="1" applyBorder="1" applyAlignment="1">
      <alignment vertical="center" wrapText="1"/>
    </xf>
    <xf numFmtId="0" fontId="0" fillId="22" borderId="68" xfId="0" applyFill="1" applyBorder="1" applyAlignment="1">
      <alignment vertical="center" wrapText="1"/>
    </xf>
    <xf numFmtId="0" fontId="0" fillId="22" borderId="73" xfId="0" quotePrefix="1" applyFill="1" applyBorder="1" applyAlignment="1">
      <alignment vertical="top" wrapText="1"/>
    </xf>
    <xf numFmtId="0" fontId="0" fillId="22" borderId="68" xfId="0" quotePrefix="1" applyFill="1" applyBorder="1" applyAlignment="1">
      <alignment vertical="top" wrapText="1"/>
    </xf>
    <xf numFmtId="0" fontId="0" fillId="22" borderId="11" xfId="0" applyFill="1" applyBorder="1" applyAlignment="1">
      <alignment vertical="center" wrapText="1"/>
    </xf>
    <xf numFmtId="0" fontId="0" fillId="22" borderId="1" xfId="0" applyFill="1" applyBorder="1" applyAlignment="1">
      <alignment vertical="center" wrapText="1"/>
    </xf>
    <xf numFmtId="0" fontId="0" fillId="22" borderId="20" xfId="0" applyFill="1" applyBorder="1" applyAlignment="1">
      <alignment vertical="center" wrapText="1"/>
    </xf>
    <xf numFmtId="0" fontId="0" fillId="22" borderId="46" xfId="0" applyFill="1" applyBorder="1" applyAlignment="1">
      <alignment vertical="center" wrapText="1"/>
    </xf>
    <xf numFmtId="0" fontId="0" fillId="22" borderId="33" xfId="0" applyFill="1" applyBorder="1" applyAlignment="1">
      <alignment horizontal="left" vertical="center"/>
    </xf>
    <xf numFmtId="0" fontId="0" fillId="22" borderId="34" xfId="0" applyFill="1" applyBorder="1" applyAlignment="1">
      <alignment horizontal="left" vertical="center"/>
    </xf>
    <xf numFmtId="0" fontId="0" fillId="22" borderId="35" xfId="0" applyFill="1" applyBorder="1" applyAlignment="1">
      <alignment horizontal="left" vertical="center"/>
    </xf>
    <xf numFmtId="0" fontId="0" fillId="22" borderId="36" xfId="0" applyFill="1" applyBorder="1" applyAlignment="1">
      <alignment horizontal="left" vertical="center"/>
    </xf>
    <xf numFmtId="0" fontId="0" fillId="22" borderId="43" xfId="0" applyFill="1" applyBorder="1" applyAlignment="1">
      <alignment horizontal="left" vertical="center"/>
    </xf>
    <xf numFmtId="0" fontId="0" fillId="22" borderId="64" xfId="0" applyFill="1" applyBorder="1" applyAlignment="1">
      <alignment horizontal="left" vertical="center"/>
    </xf>
    <xf numFmtId="44" fontId="15" fillId="2" borderId="23" xfId="0" applyNumberFormat="1" applyFont="1" applyFill="1" applyBorder="1" applyAlignment="1">
      <alignment horizontal="center" vertical="center" wrapText="1"/>
    </xf>
    <xf numFmtId="0" fontId="3" fillId="2" borderId="49" xfId="0" applyFont="1" applyFill="1" applyBorder="1" applyAlignment="1">
      <alignment horizontal="center" vertical="center"/>
    </xf>
    <xf numFmtId="0" fontId="3" fillId="2" borderId="50" xfId="0" applyFont="1" applyFill="1" applyBorder="1" applyAlignment="1">
      <alignment horizontal="center" vertical="center" wrapText="1"/>
    </xf>
    <xf numFmtId="44" fontId="0" fillId="15" borderId="53" xfId="0" applyNumberFormat="1" applyFill="1" applyBorder="1" applyAlignment="1">
      <alignment horizontal="center" vertical="center"/>
    </xf>
    <xf numFmtId="44" fontId="0" fillId="15" borderId="54" xfId="0" applyNumberFormat="1" applyFill="1" applyBorder="1" applyAlignment="1">
      <alignment horizontal="center" vertical="center"/>
    </xf>
    <xf numFmtId="44" fontId="0" fillId="15" borderId="55" xfId="0" applyNumberFormat="1" applyFill="1" applyBorder="1" applyAlignment="1">
      <alignment horizontal="center" vertical="center"/>
    </xf>
    <xf numFmtId="44" fontId="0" fillId="17" borderId="54" xfId="0" applyNumberFormat="1" applyFill="1" applyBorder="1" applyAlignment="1">
      <alignment horizontal="center" vertical="center"/>
    </xf>
    <xf numFmtId="179" fontId="9" fillId="4" borderId="11" xfId="0" applyNumberFormat="1" applyFont="1" applyFill="1" applyBorder="1" applyAlignment="1">
      <alignment vertical="center"/>
    </xf>
    <xf numFmtId="179" fontId="9" fillId="0" borderId="1" xfId="0" applyNumberFormat="1" applyFont="1" applyBorder="1" applyAlignment="1">
      <alignment horizontal="center" vertical="center"/>
    </xf>
    <xf numFmtId="179" fontId="9" fillId="0" borderId="6" xfId="0" applyNumberFormat="1" applyFont="1" applyBorder="1" applyAlignment="1">
      <alignment horizontal="center" vertical="center"/>
    </xf>
    <xf numFmtId="179" fontId="9" fillId="4" borderId="1" xfId="0" applyNumberFormat="1" applyFont="1" applyFill="1" applyBorder="1" applyAlignment="1">
      <alignment horizontal="center" vertical="center"/>
    </xf>
    <xf numFmtId="179" fontId="9" fillId="0" borderId="20" xfId="0" applyNumberFormat="1" applyFont="1" applyBorder="1" applyAlignment="1">
      <alignment vertical="center"/>
    </xf>
    <xf numFmtId="179" fontId="9" fillId="0" borderId="1" xfId="0" applyNumberFormat="1" applyFont="1" applyBorder="1" applyAlignment="1">
      <alignment vertical="center"/>
    </xf>
    <xf numFmtId="42" fontId="9" fillId="15" borderId="23" xfId="0" applyNumberFormat="1" applyFont="1" applyFill="1" applyBorder="1" applyAlignment="1">
      <alignment vertical="center"/>
    </xf>
    <xf numFmtId="42" fontId="9" fillId="4" borderId="17" xfId="0" applyNumberFormat="1" applyFont="1" applyFill="1" applyBorder="1" applyAlignment="1">
      <alignment vertical="center"/>
    </xf>
    <xf numFmtId="179" fontId="9" fillId="4" borderId="17" xfId="0" applyNumberFormat="1" applyFont="1" applyFill="1" applyBorder="1" applyAlignment="1">
      <alignment vertical="center"/>
    </xf>
    <xf numFmtId="42" fontId="9" fillId="15" borderId="17" xfId="0" applyNumberFormat="1" applyFont="1" applyFill="1" applyBorder="1" applyAlignment="1">
      <alignment vertical="center"/>
    </xf>
    <xf numFmtId="0" fontId="9" fillId="4" borderId="17" xfId="0" applyFont="1" applyFill="1" applyBorder="1" applyAlignment="1">
      <alignment vertical="center"/>
    </xf>
    <xf numFmtId="1" fontId="9" fillId="4" borderId="18" xfId="0" applyNumberFormat="1" applyFont="1" applyFill="1" applyBorder="1" applyAlignment="1">
      <alignment horizontal="center" vertical="center"/>
    </xf>
    <xf numFmtId="0" fontId="19" fillId="0" borderId="14" xfId="0" applyFont="1" applyBorder="1" applyAlignment="1">
      <alignment horizontal="right" vertical="center" wrapText="1"/>
    </xf>
    <xf numFmtId="0" fontId="11" fillId="2" borderId="36" xfId="0" applyFont="1" applyFill="1" applyBorder="1" applyAlignment="1">
      <alignment vertical="center" wrapText="1"/>
    </xf>
    <xf numFmtId="44" fontId="11" fillId="2" borderId="4" xfId="0" applyNumberFormat="1" applyFont="1" applyFill="1" applyBorder="1" applyAlignment="1">
      <alignment vertical="center"/>
    </xf>
    <xf numFmtId="171" fontId="11" fillId="2" borderId="4" xfId="0" applyNumberFormat="1" applyFont="1" applyFill="1" applyBorder="1" applyAlignment="1">
      <alignment horizontal="center" vertical="center"/>
    </xf>
    <xf numFmtId="42" fontId="10" fillId="0" borderId="1" xfId="0" quotePrefix="1" applyNumberFormat="1" applyFont="1" applyBorder="1" applyAlignment="1">
      <alignment vertical="center"/>
    </xf>
    <xf numFmtId="0" fontId="10" fillId="0" borderId="6" xfId="0" applyFont="1" applyBorder="1" applyAlignment="1">
      <alignment horizontal="left" vertical="center"/>
    </xf>
    <xf numFmtId="0" fontId="10" fillId="0" borderId="1" xfId="0" applyFont="1" applyBorder="1" applyAlignment="1">
      <alignment horizontal="left" vertical="center"/>
    </xf>
    <xf numFmtId="168" fontId="9" fillId="0" borderId="9" xfId="0" applyNumberFormat="1" applyFont="1" applyBorder="1" applyAlignment="1">
      <alignment horizontal="center" vertical="center"/>
    </xf>
    <xf numFmtId="42" fontId="9" fillId="0" borderId="9" xfId="0" applyNumberFormat="1" applyFont="1" applyBorder="1" applyAlignment="1">
      <alignment horizontal="center" vertical="center"/>
    </xf>
    <xf numFmtId="0" fontId="9" fillId="22" borderId="48" xfId="0" quotePrefix="1" applyFont="1" applyFill="1" applyBorder="1" applyAlignment="1">
      <alignment vertical="center" wrapText="1"/>
    </xf>
    <xf numFmtId="168" fontId="9" fillId="0" borderId="3" xfId="0" applyNumberFormat="1" applyFont="1" applyBorder="1" applyAlignment="1">
      <alignment horizontal="center" vertical="center"/>
    </xf>
    <xf numFmtId="42" fontId="62" fillId="0" borderId="10" xfId="0" quotePrefix="1" applyNumberFormat="1" applyFont="1" applyBorder="1" applyAlignment="1">
      <alignment horizontal="center" vertical="center"/>
    </xf>
    <xf numFmtId="0" fontId="3" fillId="2" borderId="19" xfId="0" applyFont="1" applyFill="1" applyBorder="1" applyAlignment="1">
      <alignment horizontal="left" vertical="center"/>
    </xf>
    <xf numFmtId="0" fontId="3" fillId="2" borderId="28" xfId="0" applyFont="1" applyFill="1" applyBorder="1" applyAlignment="1">
      <alignment horizontal="left" vertical="center"/>
    </xf>
    <xf numFmtId="0" fontId="0" fillId="0" borderId="46" xfId="0" applyBorder="1" applyAlignment="1">
      <alignment horizontal="left" vertical="center"/>
    </xf>
    <xf numFmtId="0" fontId="0" fillId="0" borderId="45" xfId="0" applyBorder="1" applyAlignment="1">
      <alignment horizontal="left" vertical="center"/>
    </xf>
    <xf numFmtId="0" fontId="0" fillId="0" borderId="47" xfId="0" applyBorder="1" applyAlignment="1">
      <alignment horizontal="left" vertical="center"/>
    </xf>
    <xf numFmtId="44" fontId="3" fillId="2" borderId="14" xfId="0" applyNumberFormat="1" applyFont="1" applyFill="1" applyBorder="1" applyAlignment="1">
      <alignment horizontal="center" vertical="center"/>
    </xf>
    <xf numFmtId="0" fontId="0" fillId="0" borderId="57" xfId="0" applyBorder="1" applyAlignment="1">
      <alignment horizontal="centerContinuous" vertical="center"/>
    </xf>
    <xf numFmtId="0" fontId="0" fillId="0" borderId="32" xfId="0" applyBorder="1" applyAlignment="1">
      <alignment horizontal="centerContinuous" vertical="center"/>
    </xf>
    <xf numFmtId="0" fontId="0" fillId="0" borderId="47" xfId="0" applyBorder="1" applyAlignment="1">
      <alignment horizontal="centerContinuous" vertical="center"/>
    </xf>
    <xf numFmtId="0" fontId="0" fillId="0" borderId="72" xfId="0" applyBorder="1" applyAlignment="1">
      <alignment horizontal="centerContinuous" vertical="center"/>
    </xf>
    <xf numFmtId="0" fontId="0" fillId="0" borderId="3" xfId="0" applyBorder="1" applyAlignment="1">
      <alignment horizontal="center"/>
    </xf>
    <xf numFmtId="0" fontId="0" fillId="0" borderId="53" xfId="0" applyBorder="1" applyAlignment="1">
      <alignment horizontal="right"/>
    </xf>
    <xf numFmtId="0" fontId="0" fillId="0" borderId="57" xfId="0" applyBorder="1" applyAlignment="1">
      <alignment horizontal="right"/>
    </xf>
    <xf numFmtId="44" fontId="0" fillId="0" borderId="15" xfId="0" applyNumberFormat="1" applyBorder="1" applyAlignment="1">
      <alignment horizontal="center"/>
    </xf>
    <xf numFmtId="44" fontId="0" fillId="0" borderId="26" xfId="0" applyNumberFormat="1" applyBorder="1" applyAlignment="1">
      <alignment horizontal="center"/>
    </xf>
    <xf numFmtId="0" fontId="0" fillId="0" borderId="31" xfId="0" applyBorder="1" applyAlignment="1">
      <alignment horizontal="left" vertical="center"/>
    </xf>
    <xf numFmtId="0" fontId="0" fillId="0" borderId="32" xfId="0" applyBorder="1" applyAlignment="1">
      <alignment horizontal="left" vertical="center"/>
    </xf>
    <xf numFmtId="0" fontId="3" fillId="3" borderId="51" xfId="0" applyFont="1" applyFill="1" applyBorder="1" applyAlignment="1">
      <alignment horizontal="left" vertical="center"/>
    </xf>
    <xf numFmtId="0" fontId="0" fillId="3" borderId="52" xfId="0" applyFill="1" applyBorder="1" applyAlignment="1">
      <alignment horizontal="left" vertical="center"/>
    </xf>
    <xf numFmtId="42" fontId="33" fillId="17" borderId="8" xfId="0" applyNumberFormat="1" applyFont="1" applyFill="1" applyBorder="1" applyAlignment="1">
      <alignment horizontal="center" vertical="center"/>
    </xf>
    <xf numFmtId="9" fontId="0" fillId="0" borderId="43" xfId="0" applyNumberFormat="1" applyBorder="1" applyAlignment="1">
      <alignment horizontal="centerContinuous" vertical="center"/>
    </xf>
    <xf numFmtId="9" fontId="0" fillId="10" borderId="59" xfId="0" applyNumberFormat="1" applyFill="1" applyBorder="1" applyAlignment="1">
      <alignment horizontal="center" vertical="center"/>
    </xf>
    <xf numFmtId="9" fontId="0" fillId="10" borderId="63" xfId="0" applyNumberFormat="1" applyFill="1" applyBorder="1" applyAlignment="1">
      <alignment horizontal="center" vertical="center"/>
    </xf>
    <xf numFmtId="44" fontId="3" fillId="12" borderId="56" xfId="0" applyNumberFormat="1" applyFont="1" applyFill="1" applyBorder="1" applyAlignment="1">
      <alignment vertical="center"/>
    </xf>
    <xf numFmtId="0" fontId="3" fillId="10" borderId="3" xfId="0" applyFont="1" applyFill="1" applyBorder="1" applyAlignment="1">
      <alignment horizontal="center" vertical="center"/>
    </xf>
    <xf numFmtId="0" fontId="3" fillId="2" borderId="40" xfId="0" applyFont="1" applyFill="1" applyBorder="1" applyAlignment="1">
      <alignment horizontal="left" vertical="center"/>
    </xf>
    <xf numFmtId="42" fontId="3" fillId="14" borderId="0" xfId="0" applyNumberFormat="1" applyFont="1" applyFill="1" applyAlignment="1">
      <alignment horizontal="center" vertical="center"/>
    </xf>
    <xf numFmtId="42" fontId="3" fillId="15" borderId="15" xfId="0" applyNumberFormat="1" applyFont="1" applyFill="1" applyBorder="1" applyAlignment="1">
      <alignment horizontal="left" vertical="center"/>
    </xf>
    <xf numFmtId="42" fontId="11" fillId="15" borderId="15" xfId="0" applyNumberFormat="1" applyFont="1" applyFill="1" applyBorder="1" applyAlignment="1">
      <alignment horizontal="center" vertical="center"/>
    </xf>
    <xf numFmtId="0" fontId="0" fillId="0" borderId="61" xfId="0" applyBorder="1" applyAlignment="1">
      <alignment vertical="center" wrapText="1"/>
    </xf>
    <xf numFmtId="42" fontId="33" fillId="0" borderId="22" xfId="0" applyNumberFormat="1" applyFont="1" applyBorder="1" applyAlignment="1">
      <alignment horizontal="center" vertical="center"/>
    </xf>
    <xf numFmtId="42" fontId="33" fillId="0" borderId="23" xfId="0" applyNumberFormat="1" applyFont="1" applyBorder="1" applyAlignment="1">
      <alignment horizontal="center" vertical="center"/>
    </xf>
    <xf numFmtId="42" fontId="11" fillId="6" borderId="3" xfId="0" applyNumberFormat="1" applyFont="1" applyFill="1" applyBorder="1" applyAlignment="1">
      <alignment horizontal="center" vertical="center"/>
    </xf>
    <xf numFmtId="42" fontId="33" fillId="17" borderId="26" xfId="0" applyNumberFormat="1" applyFont="1" applyFill="1" applyBorder="1" applyAlignment="1">
      <alignment horizontal="center" vertical="center"/>
    </xf>
    <xf numFmtId="42" fontId="11" fillId="14" borderId="28" xfId="0" applyNumberFormat="1" applyFont="1" applyFill="1" applyBorder="1" applyAlignment="1">
      <alignment horizontal="center" vertical="center"/>
    </xf>
    <xf numFmtId="0" fontId="0" fillId="15" borderId="20" xfId="0" applyFill="1" applyBorder="1" applyAlignment="1">
      <alignment horizontal="left" vertical="center"/>
    </xf>
    <xf numFmtId="0" fontId="3" fillId="15" borderId="46" xfId="0" applyFont="1" applyFill="1" applyBorder="1" applyAlignment="1">
      <alignment horizontal="center" vertical="center"/>
    </xf>
    <xf numFmtId="0" fontId="3" fillId="15" borderId="47" xfId="0" applyFont="1" applyFill="1" applyBorder="1" applyAlignment="1">
      <alignment horizontal="center" vertical="center"/>
    </xf>
    <xf numFmtId="0" fontId="7" fillId="6" borderId="61" xfId="0" applyFont="1" applyFill="1" applyBorder="1" applyAlignment="1">
      <alignment vertical="center" wrapText="1"/>
    </xf>
    <xf numFmtId="42" fontId="3" fillId="6" borderId="23" xfId="0" applyNumberFormat="1" applyFont="1" applyFill="1" applyBorder="1" applyAlignment="1">
      <alignment horizontal="center" vertical="center"/>
    </xf>
    <xf numFmtId="42" fontId="3" fillId="6" borderId="22" xfId="0" applyNumberFormat="1" applyFont="1" applyFill="1" applyBorder="1" applyAlignment="1">
      <alignment horizontal="center" vertical="center"/>
    </xf>
    <xf numFmtId="0" fontId="9" fillId="0" borderId="9" xfId="0" applyFont="1" applyBorder="1" applyAlignment="1">
      <alignment horizontal="left" vertical="center" wrapText="1"/>
    </xf>
    <xf numFmtId="42" fontId="3" fillId="15" borderId="8" xfId="0" applyNumberFormat="1" applyFont="1" applyFill="1" applyBorder="1" applyAlignment="1">
      <alignment horizontal="left" vertical="center"/>
    </xf>
    <xf numFmtId="42" fontId="3" fillId="15" borderId="24" xfId="0" applyNumberFormat="1" applyFont="1" applyFill="1" applyBorder="1" applyAlignment="1">
      <alignment horizontal="left" vertical="center"/>
    </xf>
    <xf numFmtId="0" fontId="3" fillId="0" borderId="77" xfId="0" applyFont="1" applyBorder="1" applyAlignment="1">
      <alignment horizontal="center" vertical="center"/>
    </xf>
    <xf numFmtId="9" fontId="0" fillId="0" borderId="63" xfId="0" applyNumberFormat="1" applyBorder="1" applyAlignment="1">
      <alignment horizontal="center" vertical="center"/>
    </xf>
    <xf numFmtId="0" fontId="9" fillId="0" borderId="57" xfId="0" applyFont="1" applyBorder="1" applyAlignment="1">
      <alignment horizontal="center" vertical="center"/>
    </xf>
    <xf numFmtId="0" fontId="9" fillId="0" borderId="54" xfId="0" applyFont="1" applyBorder="1" applyAlignment="1">
      <alignment horizontal="center" vertical="center"/>
    </xf>
    <xf numFmtId="0" fontId="0" fillId="0" borderId="19" xfId="0" applyBorder="1" applyAlignment="1">
      <alignment horizontal="left" vertical="center"/>
    </xf>
    <xf numFmtId="0" fontId="0" fillId="0" borderId="56" xfId="0" applyBorder="1" applyAlignment="1">
      <alignment horizontal="left" vertical="center"/>
    </xf>
    <xf numFmtId="0" fontId="0" fillId="0" borderId="54" xfId="0" applyBorder="1" applyAlignment="1">
      <alignment horizontal="left" vertical="center"/>
    </xf>
    <xf numFmtId="0" fontId="0" fillId="18" borderId="19" xfId="0" applyFill="1" applyBorder="1" applyAlignment="1">
      <alignment horizontal="right" vertical="center"/>
    </xf>
    <xf numFmtId="0" fontId="0" fillId="18" borderId="48" xfId="0" applyFill="1" applyBorder="1" applyAlignment="1">
      <alignment vertical="center"/>
    </xf>
    <xf numFmtId="0" fontId="0" fillId="18" borderId="19" xfId="0" applyFill="1" applyBorder="1" applyAlignment="1">
      <alignment vertical="center"/>
    </xf>
    <xf numFmtId="0" fontId="0" fillId="0" borderId="48" xfId="0" applyBorder="1" applyAlignment="1">
      <alignment vertical="center"/>
    </xf>
    <xf numFmtId="0" fontId="0" fillId="0" borderId="19" xfId="0" applyBorder="1" applyAlignment="1">
      <alignment vertical="center"/>
    </xf>
    <xf numFmtId="0" fontId="0" fillId="0" borderId="19" xfId="0" applyBorder="1" applyAlignment="1">
      <alignment horizontal="right" vertical="center"/>
    </xf>
    <xf numFmtId="0" fontId="3" fillId="2" borderId="27" xfId="0" applyFont="1" applyFill="1" applyBorder="1" applyAlignment="1">
      <alignment horizontal="left" vertical="center"/>
    </xf>
    <xf numFmtId="0" fontId="3" fillId="2" borderId="0" xfId="0" applyFont="1" applyFill="1" applyAlignment="1">
      <alignment horizontal="left" vertical="center"/>
    </xf>
    <xf numFmtId="0" fontId="0" fillId="0" borderId="23" xfId="0" applyBorder="1" applyAlignment="1">
      <alignment horizontal="center" vertical="center"/>
    </xf>
    <xf numFmtId="44" fontId="3" fillId="3" borderId="14" xfId="0" applyNumberFormat="1" applyFont="1" applyFill="1" applyBorder="1" applyAlignment="1">
      <alignment horizontal="center" vertical="center"/>
    </xf>
    <xf numFmtId="0" fontId="0" fillId="0" borderId="36" xfId="0" applyBorder="1" applyAlignment="1">
      <alignment horizontal="center" vertical="center"/>
    </xf>
    <xf numFmtId="0" fontId="0" fillId="0" borderId="5" xfId="0" applyBorder="1" applyAlignment="1">
      <alignment vertical="center" wrapText="1"/>
    </xf>
    <xf numFmtId="44" fontId="3" fillId="12" borderId="19" xfId="0" applyNumberFormat="1" applyFont="1" applyFill="1" applyBorder="1" applyAlignment="1">
      <alignment horizontal="center" vertical="center"/>
    </xf>
    <xf numFmtId="44" fontId="3" fillId="2" borderId="44" xfId="0" applyNumberFormat="1" applyFont="1" applyFill="1" applyBorder="1" applyAlignment="1">
      <alignment horizontal="center" vertical="center"/>
    </xf>
    <xf numFmtId="0" fontId="3" fillId="10" borderId="48" xfId="0" applyFont="1" applyFill="1" applyBorder="1" applyAlignment="1">
      <alignment horizontal="center" vertical="center"/>
    </xf>
    <xf numFmtId="42" fontId="3" fillId="10" borderId="48" xfId="0" applyNumberFormat="1" applyFont="1" applyFill="1" applyBorder="1" applyAlignment="1">
      <alignment horizontal="center" vertical="center"/>
    </xf>
    <xf numFmtId="44" fontId="3" fillId="10" borderId="56" xfId="0" applyNumberFormat="1" applyFont="1" applyFill="1" applyBorder="1" applyAlignment="1">
      <alignment horizontal="center" vertical="center"/>
    </xf>
    <xf numFmtId="44" fontId="3" fillId="10" borderId="54" xfId="0" applyNumberFormat="1" applyFont="1" applyFill="1" applyBorder="1" applyAlignment="1">
      <alignment horizontal="center" vertical="center"/>
    </xf>
    <xf numFmtId="44" fontId="3" fillId="10" borderId="57" xfId="0" applyNumberFormat="1" applyFont="1" applyFill="1" applyBorder="1" applyAlignment="1">
      <alignment horizontal="center" vertical="center"/>
    </xf>
    <xf numFmtId="44" fontId="3" fillId="10" borderId="51" xfId="0" applyNumberFormat="1" applyFont="1" applyFill="1" applyBorder="1" applyAlignment="1">
      <alignment horizontal="center" vertical="center"/>
    </xf>
    <xf numFmtId="42" fontId="3" fillId="10" borderId="3" xfId="0" applyNumberFormat="1" applyFont="1" applyFill="1" applyBorder="1" applyAlignment="1">
      <alignment horizontal="center" vertical="center"/>
    </xf>
    <xf numFmtId="44" fontId="3" fillId="10" borderId="8" xfId="0" applyNumberFormat="1" applyFont="1" applyFill="1" applyBorder="1" applyAlignment="1">
      <alignment horizontal="center" vertical="center"/>
    </xf>
    <xf numFmtId="44" fontId="3" fillId="10" borderId="9" xfId="0" applyNumberFormat="1" applyFont="1" applyFill="1" applyBorder="1" applyAlignment="1">
      <alignment horizontal="center" vertical="center"/>
    </xf>
    <xf numFmtId="44" fontId="3" fillId="10" borderId="26" xfId="0" applyNumberFormat="1" applyFont="1" applyFill="1" applyBorder="1" applyAlignment="1">
      <alignment horizontal="center" vertical="center"/>
    </xf>
    <xf numFmtId="44" fontId="3" fillId="10" borderId="24" xfId="0" applyNumberFormat="1" applyFont="1" applyFill="1" applyBorder="1" applyAlignment="1">
      <alignment horizontal="center" vertical="center"/>
    </xf>
    <xf numFmtId="0" fontId="3" fillId="2" borderId="22" xfId="0" applyFont="1" applyFill="1" applyBorder="1" applyAlignment="1">
      <alignment vertical="center"/>
    </xf>
    <xf numFmtId="44" fontId="3" fillId="10" borderId="48" xfId="0" applyNumberFormat="1" applyFont="1" applyFill="1" applyBorder="1" applyAlignment="1">
      <alignment horizontal="center" vertical="center"/>
    </xf>
    <xf numFmtId="44" fontId="3" fillId="10" borderId="3" xfId="0" applyNumberFormat="1" applyFont="1" applyFill="1" applyBorder="1" applyAlignment="1">
      <alignment horizontal="center" vertical="center"/>
    </xf>
    <xf numFmtId="0" fontId="0" fillId="10" borderId="52" xfId="0" applyFill="1" applyBorder="1" applyAlignment="1">
      <alignment horizontal="left" vertical="center"/>
    </xf>
    <xf numFmtId="0" fontId="0" fillId="0" borderId="76" xfId="0" applyBorder="1" applyAlignment="1">
      <alignment horizontal="centerContinuous" vertical="center"/>
    </xf>
    <xf numFmtId="9" fontId="0" fillId="0" borderId="73" xfId="0" applyNumberFormat="1" applyBorder="1" applyAlignment="1">
      <alignment horizontal="center" vertical="center"/>
    </xf>
    <xf numFmtId="9" fontId="0" fillId="10" borderId="7" xfId="0" applyNumberFormat="1" applyFill="1" applyBorder="1" applyAlignment="1">
      <alignment horizontal="center" vertical="center"/>
    </xf>
    <xf numFmtId="9" fontId="0" fillId="0" borderId="7" xfId="0" applyNumberFormat="1" applyBorder="1" applyAlignment="1">
      <alignment horizontal="center" vertical="center"/>
    </xf>
    <xf numFmtId="9" fontId="0" fillId="0" borderId="68" xfId="0" applyNumberFormat="1" applyBorder="1" applyAlignment="1">
      <alignment horizontal="center" vertical="center"/>
    </xf>
    <xf numFmtId="9" fontId="0" fillId="10" borderId="78" xfId="0" applyNumberFormat="1" applyFill="1" applyBorder="1" applyAlignment="1">
      <alignment horizontal="center" vertical="center"/>
    </xf>
    <xf numFmtId="9" fontId="0" fillId="10" borderId="33" xfId="0" applyNumberFormat="1" applyFill="1" applyBorder="1" applyAlignment="1">
      <alignment horizontal="center" vertical="center"/>
    </xf>
    <xf numFmtId="9" fontId="0" fillId="10" borderId="12" xfId="0" applyNumberFormat="1" applyFill="1" applyBorder="1" applyAlignment="1">
      <alignment horizontal="center" vertical="center"/>
    </xf>
    <xf numFmtId="9" fontId="0" fillId="10" borderId="34" xfId="0" applyNumberFormat="1" applyFill="1" applyBorder="1" applyAlignment="1">
      <alignment horizontal="center" vertical="center"/>
    </xf>
    <xf numFmtId="9" fontId="0" fillId="10" borderId="13" xfId="0" applyNumberFormat="1" applyFill="1" applyBorder="1" applyAlignment="1">
      <alignment horizontal="center" vertical="center"/>
    </xf>
    <xf numFmtId="9" fontId="0" fillId="10" borderId="35" xfId="0" applyNumberFormat="1" applyFill="1" applyBorder="1" applyAlignment="1">
      <alignment horizontal="center" vertical="center"/>
    </xf>
    <xf numFmtId="9" fontId="0" fillId="10" borderId="21" xfId="0" applyNumberFormat="1" applyFill="1" applyBorder="1" applyAlignment="1">
      <alignment horizontal="center" vertical="center"/>
    </xf>
    <xf numFmtId="42" fontId="32" fillId="14" borderId="3" xfId="0" applyNumberFormat="1" applyFont="1" applyFill="1" applyBorder="1" applyAlignment="1">
      <alignment horizontal="center" vertical="center"/>
    </xf>
    <xf numFmtId="42" fontId="32" fillId="14" borderId="19" xfId="0" applyNumberFormat="1" applyFont="1" applyFill="1" applyBorder="1" applyAlignment="1">
      <alignment horizontal="center" vertical="center"/>
    </xf>
    <xf numFmtId="0" fontId="62" fillId="0" borderId="9" xfId="0" applyFont="1" applyBorder="1" applyAlignment="1">
      <alignment horizontal="left" vertical="center" wrapText="1"/>
    </xf>
    <xf numFmtId="0" fontId="0" fillId="0" borderId="12" xfId="0" applyBorder="1" applyAlignment="1">
      <alignment vertical="center" wrapText="1"/>
    </xf>
    <xf numFmtId="42" fontId="3" fillId="15" borderId="69" xfId="0" applyNumberFormat="1" applyFont="1" applyFill="1" applyBorder="1" applyAlignment="1">
      <alignment horizontal="center" vertical="center"/>
    </xf>
    <xf numFmtId="0" fontId="3" fillId="0" borderId="9" xfId="0" quotePrefix="1" applyFont="1" applyBorder="1" applyAlignment="1">
      <alignment horizontal="center" vertical="center"/>
    </xf>
    <xf numFmtId="0" fontId="0" fillId="0" borderId="17" xfId="0" quotePrefix="1" applyBorder="1" applyAlignment="1">
      <alignment vertical="center" wrapText="1"/>
    </xf>
    <xf numFmtId="44" fontId="3" fillId="15" borderId="3" xfId="0" applyNumberFormat="1" applyFont="1" applyFill="1" applyBorder="1" applyAlignment="1">
      <alignment vertical="center"/>
    </xf>
    <xf numFmtId="42" fontId="3" fillId="15" borderId="31" xfId="0" applyNumberFormat="1" applyFont="1" applyFill="1" applyBorder="1" applyAlignment="1">
      <alignment horizontal="center" vertical="center"/>
    </xf>
    <xf numFmtId="42" fontId="3" fillId="15" borderId="30" xfId="0" applyNumberFormat="1" applyFont="1" applyFill="1" applyBorder="1" applyAlignment="1">
      <alignment horizontal="center" vertical="center"/>
    </xf>
    <xf numFmtId="42" fontId="3" fillId="15" borderId="72" xfId="0" applyNumberFormat="1" applyFont="1" applyFill="1" applyBorder="1" applyAlignment="1">
      <alignment horizontal="center" vertical="center"/>
    </xf>
    <xf numFmtId="0" fontId="3" fillId="12" borderId="8" xfId="0" applyFont="1" applyFill="1" applyBorder="1" applyAlignment="1">
      <alignment horizontal="left" vertical="center" wrapText="1"/>
    </xf>
    <xf numFmtId="0" fontId="3" fillId="12" borderId="9" xfId="0" applyFont="1" applyFill="1" applyBorder="1" applyAlignment="1">
      <alignment horizontal="left" vertical="center" wrapText="1"/>
    </xf>
    <xf numFmtId="0" fontId="3" fillId="12" borderId="15" xfId="0" applyFont="1" applyFill="1" applyBorder="1" applyAlignment="1">
      <alignment horizontal="left" vertical="center" wrapText="1"/>
    </xf>
    <xf numFmtId="0" fontId="3" fillId="12" borderId="26" xfId="0" applyFont="1" applyFill="1" applyBorder="1" applyAlignment="1">
      <alignment horizontal="left" vertical="center" wrapText="1"/>
    </xf>
    <xf numFmtId="42" fontId="3" fillId="14" borderId="48" xfId="0" applyNumberFormat="1" applyFont="1" applyFill="1" applyBorder="1" applyAlignment="1">
      <alignment horizontal="center" vertical="center"/>
    </xf>
    <xf numFmtId="42" fontId="3" fillId="12" borderId="45" xfId="0" applyNumberFormat="1" applyFont="1" applyFill="1" applyBorder="1" applyAlignment="1">
      <alignment horizontal="center" vertical="center"/>
    </xf>
    <xf numFmtId="42" fontId="3" fillId="15" borderId="3" xfId="0" applyNumberFormat="1" applyFont="1" applyFill="1" applyBorder="1" applyAlignment="1">
      <alignment vertical="center"/>
    </xf>
    <xf numFmtId="0" fontId="0" fillId="10" borderId="45" xfId="0" applyFill="1" applyBorder="1" applyAlignment="1">
      <alignment horizontal="left" vertical="center"/>
    </xf>
    <xf numFmtId="0" fontId="0" fillId="10" borderId="46" xfId="0" applyFill="1" applyBorder="1" applyAlignment="1">
      <alignment horizontal="left" vertical="center"/>
    </xf>
    <xf numFmtId="0" fontId="0" fillId="10" borderId="47" xfId="0" applyFill="1" applyBorder="1" applyAlignment="1">
      <alignment horizontal="left" vertical="center"/>
    </xf>
    <xf numFmtId="0" fontId="3" fillId="2" borderId="23" xfId="0" applyFont="1" applyFill="1" applyBorder="1" applyAlignment="1">
      <alignment horizontal="left" vertical="center"/>
    </xf>
    <xf numFmtId="0" fontId="0" fillId="0" borderId="8" xfId="0" quotePrefix="1" applyBorder="1" applyAlignment="1">
      <alignment horizontal="left" vertical="center"/>
    </xf>
    <xf numFmtId="0" fontId="0" fillId="0" borderId="9" xfId="0" quotePrefix="1" applyBorder="1" applyAlignment="1">
      <alignment horizontal="left" vertical="center"/>
    </xf>
    <xf numFmtId="0" fontId="5" fillId="0" borderId="9" xfId="0" quotePrefix="1" applyFont="1" applyBorder="1" applyAlignment="1">
      <alignment horizontal="left" vertical="center"/>
    </xf>
    <xf numFmtId="0" fontId="0" fillId="0" borderId="26" xfId="0" quotePrefix="1" applyBorder="1" applyAlignment="1">
      <alignment horizontal="left" vertical="center"/>
    </xf>
    <xf numFmtId="0" fontId="5" fillId="0" borderId="26" xfId="0" quotePrefix="1" applyFont="1" applyBorder="1" applyAlignment="1">
      <alignment horizontal="left" vertical="center"/>
    </xf>
    <xf numFmtId="0" fontId="0" fillId="0" borderId="24" xfId="0" quotePrefix="1" applyBorder="1" applyAlignment="1">
      <alignment horizontal="left" vertical="center"/>
    </xf>
    <xf numFmtId="0" fontId="11" fillId="2" borderId="48" xfId="0" applyFont="1" applyFill="1" applyBorder="1" applyAlignment="1">
      <alignment horizontal="left" vertical="center" wrapText="1" indent="1"/>
    </xf>
    <xf numFmtId="6" fontId="9" fillId="0" borderId="78" xfId="0" applyNumberFormat="1" applyFont="1" applyBorder="1" applyAlignment="1">
      <alignment horizontal="left" vertical="center" wrapText="1" indent="1"/>
    </xf>
    <xf numFmtId="6" fontId="9" fillId="0" borderId="63" xfId="0" applyNumberFormat="1" applyFont="1" applyBorder="1" applyAlignment="1">
      <alignment horizontal="left" vertical="center" wrapText="1" indent="1"/>
    </xf>
    <xf numFmtId="42" fontId="3" fillId="0" borderId="76" xfId="0" applyNumberFormat="1" applyFont="1" applyBorder="1" applyAlignment="1">
      <alignment horizontal="center" vertical="center"/>
    </xf>
    <xf numFmtId="42" fontId="3" fillId="15" borderId="9" xfId="0" applyNumberFormat="1" applyFont="1" applyFill="1" applyBorder="1" applyAlignment="1">
      <alignment vertical="center"/>
    </xf>
    <xf numFmtId="0" fontId="34" fillId="7" borderId="4" xfId="0" applyFont="1" applyFill="1" applyBorder="1" applyAlignment="1">
      <alignment horizontal="right" vertical="center"/>
    </xf>
    <xf numFmtId="42" fontId="11" fillId="0" borderId="71" xfId="0" applyNumberFormat="1" applyFont="1" applyBorder="1" applyAlignment="1">
      <alignment horizontal="center" vertical="center"/>
    </xf>
    <xf numFmtId="42" fontId="11" fillId="15" borderId="72" xfId="0" applyNumberFormat="1" applyFont="1" applyFill="1" applyBorder="1" applyAlignment="1">
      <alignment horizontal="center" vertical="center"/>
    </xf>
    <xf numFmtId="42" fontId="11" fillId="17" borderId="46" xfId="0" applyNumberFormat="1" applyFont="1" applyFill="1" applyBorder="1" applyAlignment="1">
      <alignment horizontal="center" vertical="center"/>
    </xf>
    <xf numFmtId="42" fontId="11" fillId="17" borderId="76" xfId="0" applyNumberFormat="1" applyFont="1" applyFill="1" applyBorder="1" applyAlignment="1">
      <alignment horizontal="center" vertical="center"/>
    </xf>
    <xf numFmtId="42" fontId="11" fillId="0" borderId="45" xfId="0" applyNumberFormat="1" applyFont="1" applyBorder="1" applyAlignment="1">
      <alignment horizontal="center" vertical="center"/>
    </xf>
    <xf numFmtId="42" fontId="11" fillId="0" borderId="76" xfId="0" applyNumberFormat="1" applyFont="1" applyBorder="1" applyAlignment="1">
      <alignment horizontal="center" vertical="center"/>
    </xf>
    <xf numFmtId="42" fontId="11" fillId="0" borderId="19" xfId="0" applyNumberFormat="1" applyFont="1" applyBorder="1" applyAlignment="1">
      <alignment horizontal="center" vertical="center" wrapText="1"/>
    </xf>
    <xf numFmtId="42" fontId="11" fillId="0" borderId="46" xfId="0" applyNumberFormat="1" applyFont="1" applyBorder="1" applyAlignment="1">
      <alignment horizontal="center" vertical="center" wrapText="1"/>
    </xf>
    <xf numFmtId="42" fontId="11" fillId="0" borderId="47" xfId="0" applyNumberFormat="1" applyFont="1" applyBorder="1" applyAlignment="1">
      <alignment horizontal="center" vertical="center" wrapText="1"/>
    </xf>
    <xf numFmtId="42" fontId="61" fillId="22" borderId="9" xfId="0" applyNumberFormat="1" applyFont="1" applyFill="1" applyBorder="1" applyAlignment="1">
      <alignment horizontal="center" vertical="center"/>
    </xf>
    <xf numFmtId="42" fontId="11" fillId="15" borderId="10" xfId="0" applyNumberFormat="1" applyFont="1" applyFill="1" applyBorder="1" applyAlignment="1">
      <alignment horizontal="center" vertical="center"/>
    </xf>
    <xf numFmtId="42" fontId="11" fillId="15" borderId="3" xfId="0" applyNumberFormat="1" applyFont="1" applyFill="1" applyBorder="1" applyAlignment="1">
      <alignment horizontal="center" vertical="center" wrapText="1"/>
    </xf>
    <xf numFmtId="42" fontId="41" fillId="15" borderId="15" xfId="0" applyNumberFormat="1" applyFont="1" applyFill="1" applyBorder="1" applyAlignment="1">
      <alignment horizontal="center" vertical="center"/>
    </xf>
    <xf numFmtId="42" fontId="43" fillId="15" borderId="9" xfId="0" applyNumberFormat="1" applyFont="1" applyFill="1" applyBorder="1" applyAlignment="1">
      <alignment horizontal="center" vertical="center" wrapText="1"/>
    </xf>
    <xf numFmtId="42" fontId="11" fillId="15" borderId="26" xfId="0" applyNumberFormat="1" applyFont="1" applyFill="1" applyBorder="1" applyAlignment="1">
      <alignment horizontal="center" vertical="center" wrapText="1"/>
    </xf>
    <xf numFmtId="42" fontId="3" fillId="15" borderId="58" xfId="0" applyNumberFormat="1" applyFont="1" applyFill="1" applyBorder="1" applyAlignment="1">
      <alignment horizontal="center" vertical="center"/>
    </xf>
    <xf numFmtId="42" fontId="11" fillId="17" borderId="58" xfId="0" applyNumberFormat="1" applyFont="1" applyFill="1" applyBorder="1" applyAlignment="1">
      <alignment horizontal="center" vertical="center"/>
    </xf>
    <xf numFmtId="42" fontId="11" fillId="17" borderId="72" xfId="0" applyNumberFormat="1" applyFont="1" applyFill="1" applyBorder="1" applyAlignment="1">
      <alignment horizontal="center" vertical="center"/>
    </xf>
    <xf numFmtId="42" fontId="33" fillId="17" borderId="50" xfId="0" applyNumberFormat="1" applyFont="1" applyFill="1" applyBorder="1" applyAlignment="1">
      <alignment horizontal="center" vertical="center"/>
    </xf>
    <xf numFmtId="42" fontId="33" fillId="6" borderId="29" xfId="0" applyNumberFormat="1" applyFont="1" applyFill="1" applyBorder="1" applyAlignment="1">
      <alignment horizontal="center" vertical="center"/>
    </xf>
    <xf numFmtId="42" fontId="11" fillId="0" borderId="31" xfId="0" applyNumberFormat="1" applyFont="1" applyBorder="1" applyAlignment="1">
      <alignment horizontal="center" vertical="center"/>
    </xf>
    <xf numFmtId="42" fontId="11" fillId="0" borderId="72" xfId="0" applyNumberFormat="1" applyFont="1" applyBorder="1" applyAlignment="1">
      <alignment horizontal="center" vertical="center"/>
    </xf>
    <xf numFmtId="42" fontId="33" fillId="14" borderId="50" xfId="0" applyNumberFormat="1" applyFont="1" applyFill="1" applyBorder="1" applyAlignment="1">
      <alignment horizontal="center" vertical="center"/>
    </xf>
    <xf numFmtId="42" fontId="11" fillId="0" borderId="50" xfId="0" applyNumberFormat="1" applyFont="1" applyBorder="1" applyAlignment="1">
      <alignment horizontal="center" vertical="center" wrapText="1"/>
    </xf>
    <xf numFmtId="42" fontId="11" fillId="0" borderId="58" xfId="0" applyNumberFormat="1" applyFont="1" applyBorder="1" applyAlignment="1">
      <alignment horizontal="center" vertical="center" wrapText="1"/>
    </xf>
    <xf numFmtId="42" fontId="11" fillId="0" borderId="32" xfId="0" applyNumberFormat="1" applyFont="1" applyBorder="1" applyAlignment="1">
      <alignment horizontal="center" vertical="center" wrapText="1"/>
    </xf>
    <xf numFmtId="42" fontId="3" fillId="14" borderId="23" xfId="0" applyNumberFormat="1" applyFont="1" applyFill="1" applyBorder="1" applyAlignment="1">
      <alignment horizontal="center" vertical="center"/>
    </xf>
    <xf numFmtId="42" fontId="33" fillId="6" borderId="24" xfId="0" applyNumberFormat="1" applyFont="1" applyFill="1" applyBorder="1" applyAlignment="1">
      <alignment horizontal="center" vertical="center"/>
    </xf>
    <xf numFmtId="42" fontId="10" fillId="17" borderId="46" xfId="0" applyNumberFormat="1" applyFont="1" applyFill="1" applyBorder="1" applyAlignment="1">
      <alignment horizontal="center" vertical="center"/>
    </xf>
    <xf numFmtId="42" fontId="10" fillId="17" borderId="9" xfId="0" applyNumberFormat="1" applyFont="1" applyFill="1" applyBorder="1" applyAlignment="1">
      <alignment horizontal="center" vertical="center"/>
    </xf>
    <xf numFmtId="42" fontId="61" fillId="0" borderId="46" xfId="0" applyNumberFormat="1" applyFont="1" applyBorder="1" applyAlignment="1">
      <alignment horizontal="center" vertical="center"/>
    </xf>
    <xf numFmtId="0" fontId="0" fillId="0" borderId="11" xfId="0" quotePrefix="1" applyBorder="1" applyAlignment="1">
      <alignment vertical="center" wrapText="1"/>
    </xf>
    <xf numFmtId="0" fontId="3" fillId="0" borderId="12" xfId="0" quotePrefix="1" applyFont="1" applyBorder="1" applyAlignment="1">
      <alignment horizontal="center" vertical="center"/>
    </xf>
    <xf numFmtId="0" fontId="3" fillId="0" borderId="13" xfId="0" quotePrefix="1" applyFont="1" applyBorder="1" applyAlignment="1">
      <alignment horizontal="center" vertical="center"/>
    </xf>
    <xf numFmtId="0" fontId="3" fillId="0" borderId="63" xfId="0" quotePrefix="1" applyFont="1" applyBorder="1" applyAlignment="1">
      <alignment horizontal="center" vertical="center"/>
    </xf>
    <xf numFmtId="0" fontId="3" fillId="4" borderId="5" xfId="0" quotePrefix="1" applyFont="1" applyFill="1" applyBorder="1" applyAlignment="1">
      <alignment horizontal="center" vertical="center"/>
    </xf>
    <xf numFmtId="42" fontId="3" fillId="4" borderId="3" xfId="0" applyNumberFormat="1" applyFont="1" applyFill="1" applyBorder="1" applyAlignment="1">
      <alignment horizontal="center" vertical="center"/>
    </xf>
    <xf numFmtId="0" fontId="0" fillId="0" borderId="6" xfId="0" quotePrefix="1" applyBorder="1" applyAlignment="1">
      <alignment vertical="center" wrapText="1"/>
    </xf>
    <xf numFmtId="42" fontId="3" fillId="17" borderId="3" xfId="0" applyNumberFormat="1" applyFont="1" applyFill="1" applyBorder="1" applyAlignment="1">
      <alignment horizontal="center" vertical="center"/>
    </xf>
    <xf numFmtId="0" fontId="0" fillId="0" borderId="2" xfId="0" quotePrefix="1" applyBorder="1" applyAlignment="1">
      <alignment vertical="center" wrapText="1"/>
    </xf>
    <xf numFmtId="42" fontId="3" fillId="17" borderId="14" xfId="0" applyNumberFormat="1" applyFont="1" applyFill="1" applyBorder="1" applyAlignment="1">
      <alignment horizontal="center" vertical="center"/>
    </xf>
    <xf numFmtId="0" fontId="41" fillId="14" borderId="61" xfId="0" applyFont="1" applyFill="1" applyBorder="1" applyAlignment="1">
      <alignment horizontal="right" vertical="center" wrapText="1"/>
    </xf>
    <xf numFmtId="0" fontId="3" fillId="0" borderId="67" xfId="0" quotePrefix="1" applyFont="1" applyBorder="1" applyAlignment="1">
      <alignment horizontal="center" vertical="center"/>
    </xf>
    <xf numFmtId="0" fontId="3" fillId="4" borderId="36" xfId="0" quotePrefix="1" applyFont="1" applyFill="1" applyBorder="1" applyAlignment="1">
      <alignment horizontal="right" vertical="center" wrapText="1"/>
    </xf>
    <xf numFmtId="0" fontId="3" fillId="4" borderId="40" xfId="0" quotePrefix="1" applyFont="1" applyFill="1" applyBorder="1" applyAlignment="1">
      <alignment horizontal="center" vertical="center"/>
    </xf>
    <xf numFmtId="42" fontId="11" fillId="4" borderId="3" xfId="0" applyNumberFormat="1" applyFont="1" applyFill="1" applyBorder="1" applyAlignment="1">
      <alignment horizontal="center" vertical="center"/>
    </xf>
    <xf numFmtId="42" fontId="3" fillId="22" borderId="27" xfId="0" applyNumberFormat="1" applyFont="1" applyFill="1" applyBorder="1" applyAlignment="1">
      <alignment horizontal="center" vertical="center"/>
    </xf>
    <xf numFmtId="42" fontId="3" fillId="22" borderId="0" xfId="0" applyNumberFormat="1" applyFont="1" applyFill="1" applyAlignment="1">
      <alignment horizontal="center" vertical="center"/>
    </xf>
    <xf numFmtId="0" fontId="3" fillId="0" borderId="79" xfId="0" applyFont="1" applyBorder="1" applyAlignment="1">
      <alignment horizontal="center" vertical="center"/>
    </xf>
    <xf numFmtId="44" fontId="0" fillId="15" borderId="49" xfId="0" applyNumberFormat="1" applyFill="1" applyBorder="1" applyAlignment="1">
      <alignment vertical="center"/>
    </xf>
    <xf numFmtId="44" fontId="0" fillId="15" borderId="14" xfId="0" applyNumberFormat="1" applyFill="1" applyBorder="1" applyAlignment="1">
      <alignment vertical="center"/>
    </xf>
    <xf numFmtId="44" fontId="0" fillId="15" borderId="3" xfId="0" applyNumberFormat="1" applyFill="1" applyBorder="1" applyAlignment="1">
      <alignment vertical="center"/>
    </xf>
    <xf numFmtId="44" fontId="3" fillId="12" borderId="55" xfId="0" applyNumberFormat="1" applyFont="1" applyFill="1" applyBorder="1" applyAlignment="1">
      <alignment vertical="center"/>
    </xf>
    <xf numFmtId="44" fontId="3" fillId="15" borderId="44" xfId="0" applyNumberFormat="1" applyFont="1" applyFill="1" applyBorder="1" applyAlignment="1">
      <alignment vertical="center"/>
    </xf>
    <xf numFmtId="44" fontId="0" fillId="15" borderId="10" xfId="0" applyNumberFormat="1" applyFill="1" applyBorder="1" applyAlignment="1">
      <alignment vertical="center"/>
    </xf>
    <xf numFmtId="44" fontId="0" fillId="15" borderId="23" xfId="0" applyNumberFormat="1" applyFill="1" applyBorder="1" applyAlignment="1">
      <alignment horizontal="center" vertical="center"/>
    </xf>
    <xf numFmtId="44" fontId="3" fillId="15" borderId="14" xfId="0" applyNumberFormat="1" applyFont="1" applyFill="1" applyBorder="1" applyAlignment="1">
      <alignment vertical="center"/>
    </xf>
    <xf numFmtId="44" fontId="3" fillId="12" borderId="57" xfId="0" applyNumberFormat="1" applyFont="1" applyFill="1" applyBorder="1" applyAlignment="1">
      <alignment vertical="center"/>
    </xf>
    <xf numFmtId="44" fontId="3" fillId="12" borderId="48" xfId="0" applyNumberFormat="1" applyFont="1" applyFill="1" applyBorder="1" applyAlignment="1">
      <alignment vertical="center"/>
    </xf>
    <xf numFmtId="42" fontId="3" fillId="17" borderId="0" xfId="0" applyNumberFormat="1" applyFont="1" applyFill="1" applyAlignment="1">
      <alignment horizontal="center" vertical="center"/>
    </xf>
    <xf numFmtId="0" fontId="3" fillId="15" borderId="36" xfId="0" applyFont="1" applyFill="1" applyBorder="1" applyAlignment="1">
      <alignment horizontal="center" vertical="center"/>
    </xf>
    <xf numFmtId="0" fontId="3" fillId="15" borderId="5" xfId="0" applyFont="1" applyFill="1" applyBorder="1" applyAlignment="1">
      <alignment horizontal="center" vertical="center"/>
    </xf>
    <xf numFmtId="44" fontId="3" fillId="3" borderId="8" xfId="0" applyNumberFormat="1" applyFont="1" applyFill="1" applyBorder="1" applyAlignment="1">
      <alignment vertical="center"/>
    </xf>
    <xf numFmtId="169" fontId="3" fillId="15" borderId="32" xfId="0" applyNumberFormat="1" applyFont="1" applyFill="1" applyBorder="1" applyAlignment="1">
      <alignment horizontal="center" vertical="center"/>
    </xf>
    <xf numFmtId="42" fontId="33" fillId="17" borderId="45" xfId="0" applyNumberFormat="1" applyFont="1" applyFill="1" applyBorder="1" applyAlignment="1">
      <alignment horizontal="center" vertical="center"/>
    </xf>
    <xf numFmtId="0" fontId="0" fillId="0" borderId="3" xfId="0" applyBorder="1" applyAlignment="1">
      <alignment vertical="center"/>
    </xf>
    <xf numFmtId="0" fontId="3" fillId="23" borderId="49" xfId="0" applyFont="1" applyFill="1" applyBorder="1" applyAlignment="1">
      <alignment horizontal="right" vertical="center"/>
    </xf>
    <xf numFmtId="42" fontId="3" fillId="23" borderId="23" xfId="0" applyNumberFormat="1" applyFont="1" applyFill="1" applyBorder="1" applyAlignment="1">
      <alignment vertical="center"/>
    </xf>
    <xf numFmtId="0" fontId="3" fillId="12" borderId="31" xfId="0" applyFont="1" applyFill="1" applyBorder="1" applyAlignment="1">
      <alignment horizontal="center" vertical="center"/>
    </xf>
    <xf numFmtId="0" fontId="3" fillId="12" borderId="32" xfId="0" applyFont="1" applyFill="1" applyBorder="1" applyAlignment="1">
      <alignment horizontal="center" vertical="center"/>
    </xf>
    <xf numFmtId="0" fontId="0" fillId="0" borderId="26" xfId="0" applyBorder="1" applyAlignment="1">
      <alignment vertical="center"/>
    </xf>
    <xf numFmtId="0" fontId="3" fillId="0" borderId="62" xfId="0" quotePrefix="1" applyFont="1" applyBorder="1" applyAlignment="1">
      <alignment horizontal="center" vertical="center"/>
    </xf>
    <xf numFmtId="0" fontId="11" fillId="0" borderId="13" xfId="0" quotePrefix="1" applyFont="1" applyBorder="1" applyAlignment="1">
      <alignment horizontal="center" vertical="center"/>
    </xf>
    <xf numFmtId="0" fontId="3" fillId="2" borderId="28" xfId="0" applyFont="1" applyFill="1" applyBorder="1" applyAlignment="1">
      <alignment horizontal="right"/>
    </xf>
    <xf numFmtId="0" fontId="2" fillId="0" borderId="42" xfId="0" applyFont="1" applyBorder="1" applyAlignment="1">
      <alignment vertical="center" wrapText="1"/>
    </xf>
    <xf numFmtId="0" fontId="3" fillId="0" borderId="10" xfId="0" quotePrefix="1" applyFont="1" applyBorder="1" applyAlignment="1">
      <alignment horizontal="center" vertical="center"/>
    </xf>
    <xf numFmtId="0" fontId="2" fillId="14" borderId="4" xfId="0" applyFont="1" applyFill="1" applyBorder="1" applyAlignment="1">
      <alignment vertical="center" wrapText="1"/>
    </xf>
    <xf numFmtId="0" fontId="0" fillId="0" borderId="48" xfId="0" applyBorder="1"/>
    <xf numFmtId="0" fontId="0" fillId="0" borderId="19" xfId="0" applyBorder="1"/>
    <xf numFmtId="49" fontId="0" fillId="0" borderId="19" xfId="0" applyNumberFormat="1" applyBorder="1" applyAlignment="1">
      <alignment horizontal="center"/>
    </xf>
    <xf numFmtId="0" fontId="0" fillId="0" borderId="28" xfId="0" applyBorder="1"/>
    <xf numFmtId="42" fontId="11" fillId="15" borderId="15" xfId="1" applyNumberFormat="1" applyFont="1" applyFill="1" applyBorder="1" applyAlignment="1">
      <alignment horizontal="center" vertical="top"/>
    </xf>
    <xf numFmtId="42" fontId="11" fillId="15" borderId="9" xfId="1" applyNumberFormat="1" applyFont="1" applyFill="1" applyBorder="1" applyAlignment="1">
      <alignment horizontal="center" vertical="top"/>
    </xf>
    <xf numFmtId="0" fontId="9" fillId="0" borderId="15" xfId="0" applyFont="1" applyBorder="1"/>
    <xf numFmtId="0" fontId="11" fillId="0" borderId="9" xfId="1" quotePrefix="1" applyFont="1" applyBorder="1" applyAlignment="1">
      <alignment vertical="top"/>
    </xf>
    <xf numFmtId="0" fontId="9" fillId="0" borderId="9" xfId="0" applyFont="1" applyBorder="1"/>
    <xf numFmtId="0" fontId="9" fillId="0" borderId="10" xfId="0" applyFont="1" applyBorder="1"/>
    <xf numFmtId="0" fontId="9" fillId="0" borderId="9" xfId="1" quotePrefix="1" applyFont="1" applyBorder="1" applyAlignment="1">
      <alignment vertical="top"/>
    </xf>
    <xf numFmtId="0" fontId="3" fillId="3" borderId="3" xfId="0" applyFont="1" applyFill="1" applyBorder="1" applyAlignment="1">
      <alignment horizontal="right"/>
    </xf>
    <xf numFmtId="0" fontId="9" fillId="0" borderId="69" xfId="1" applyFont="1" applyBorder="1" applyAlignment="1">
      <alignment horizontal="left" vertical="top"/>
    </xf>
    <xf numFmtId="1" fontId="3" fillId="15" borderId="28" xfId="0" applyNumberFormat="1" applyFont="1" applyFill="1" applyBorder="1" applyAlignment="1">
      <alignment horizontal="center"/>
    </xf>
    <xf numFmtId="0" fontId="3" fillId="14" borderId="23" xfId="0" applyFont="1" applyFill="1" applyBorder="1" applyAlignment="1">
      <alignment horizontal="center"/>
    </xf>
    <xf numFmtId="0" fontId="3" fillId="14" borderId="24" xfId="0" applyFont="1" applyFill="1" applyBorder="1" applyAlignment="1">
      <alignment horizontal="center"/>
    </xf>
    <xf numFmtId="164" fontId="0" fillId="0" borderId="0" xfId="0" applyNumberFormat="1"/>
    <xf numFmtId="0" fontId="0" fillId="15" borderId="73" xfId="0" applyFill="1" applyBorder="1"/>
    <xf numFmtId="0" fontId="3" fillId="23" borderId="19" xfId="0" applyFont="1" applyFill="1" applyBorder="1" applyAlignment="1">
      <alignment horizontal="center" vertical="center"/>
    </xf>
    <xf numFmtId="0" fontId="3" fillId="0" borderId="21" xfId="0" quotePrefix="1" applyFont="1" applyBorder="1" applyAlignment="1">
      <alignment horizontal="center" vertical="center"/>
    </xf>
    <xf numFmtId="0" fontId="0" fillId="15" borderId="45" xfId="0" applyFill="1" applyBorder="1" applyAlignment="1">
      <alignment horizontal="left"/>
    </xf>
    <xf numFmtId="0" fontId="0" fillId="15" borderId="46" xfId="0" applyFill="1" applyBorder="1" applyAlignment="1">
      <alignment horizontal="left"/>
    </xf>
    <xf numFmtId="0" fontId="0" fillId="0" borderId="46" xfId="0" applyBorder="1" applyAlignment="1">
      <alignment horizontal="left"/>
    </xf>
    <xf numFmtId="0" fontId="0" fillId="15" borderId="47" xfId="0" applyFill="1" applyBorder="1" applyAlignment="1">
      <alignment horizontal="left"/>
    </xf>
    <xf numFmtId="0" fontId="3" fillId="14" borderId="22" xfId="0" applyFont="1" applyFill="1" applyBorder="1" applyAlignment="1">
      <alignment horizontal="right"/>
    </xf>
    <xf numFmtId="0" fontId="0" fillId="15" borderId="45" xfId="0" applyFill="1" applyBorder="1"/>
    <xf numFmtId="0" fontId="3" fillId="14" borderId="52" xfId="0" applyFont="1" applyFill="1" applyBorder="1" applyAlignment="1">
      <alignment horizontal="right"/>
    </xf>
    <xf numFmtId="0" fontId="0" fillId="15" borderId="7" xfId="0" applyFill="1" applyBorder="1" applyAlignment="1">
      <alignment horizontal="left"/>
    </xf>
    <xf numFmtId="0" fontId="0" fillId="15" borderId="75" xfId="0" applyFill="1" applyBorder="1" applyAlignment="1">
      <alignment horizontal="left"/>
    </xf>
    <xf numFmtId="0" fontId="3" fillId="14" borderId="19" xfId="0" applyFont="1" applyFill="1" applyBorder="1" applyAlignment="1">
      <alignment horizontal="right"/>
    </xf>
    <xf numFmtId="0" fontId="0" fillId="15" borderId="8" xfId="0" applyFill="1" applyBorder="1" applyAlignment="1">
      <alignment horizontal="center"/>
    </xf>
    <xf numFmtId="0" fontId="0" fillId="0" borderId="14" xfId="0" applyBorder="1" applyAlignment="1">
      <alignment horizontal="center"/>
    </xf>
    <xf numFmtId="42" fontId="0" fillId="15" borderId="65" xfId="0" applyNumberFormat="1" applyFill="1" applyBorder="1" applyAlignment="1">
      <alignment horizontal="center"/>
    </xf>
    <xf numFmtId="42" fontId="0" fillId="15" borderId="18" xfId="0" applyNumberFormat="1" applyFill="1" applyBorder="1" applyAlignment="1">
      <alignment horizontal="center"/>
    </xf>
    <xf numFmtId="42" fontId="0" fillId="7" borderId="5" xfId="0" applyNumberFormat="1" applyFill="1" applyBorder="1" applyAlignment="1">
      <alignment horizontal="center"/>
    </xf>
    <xf numFmtId="42" fontId="9" fillId="15" borderId="18" xfId="0" applyNumberFormat="1" applyFont="1" applyFill="1" applyBorder="1" applyAlignment="1">
      <alignment horizontal="center"/>
    </xf>
    <xf numFmtId="42" fontId="3" fillId="7" borderId="5" xfId="0" applyNumberFormat="1" applyFont="1" applyFill="1" applyBorder="1" applyAlignment="1">
      <alignment horizontal="center"/>
    </xf>
    <xf numFmtId="42" fontId="0" fillId="15" borderId="21" xfId="0" applyNumberFormat="1" applyFill="1" applyBorder="1" applyAlignment="1">
      <alignment horizontal="center"/>
    </xf>
    <xf numFmtId="0" fontId="0" fillId="3" borderId="51" xfId="0" applyFill="1" applyBorder="1" applyAlignment="1">
      <alignment horizontal="center"/>
    </xf>
    <xf numFmtId="0" fontId="0" fillId="15" borderId="76" xfId="0" applyFill="1" applyBorder="1"/>
    <xf numFmtId="42" fontId="3" fillId="14" borderId="19" xfId="0" applyNumberFormat="1" applyFont="1" applyFill="1" applyBorder="1" applyAlignment="1">
      <alignment horizontal="center"/>
    </xf>
    <xf numFmtId="0" fontId="0" fillId="0" borderId="54" xfId="0" applyBorder="1" applyAlignment="1">
      <alignment horizontal="center"/>
    </xf>
    <xf numFmtId="0" fontId="0" fillId="0" borderId="55" xfId="0" applyBorder="1" applyAlignment="1">
      <alignment horizontal="center"/>
    </xf>
    <xf numFmtId="0" fontId="3" fillId="14" borderId="61" xfId="0" applyFont="1" applyFill="1" applyBorder="1" applyAlignment="1">
      <alignment horizontal="right"/>
    </xf>
    <xf numFmtId="42" fontId="3" fillId="15" borderId="8" xfId="0" applyNumberFormat="1" applyFont="1" applyFill="1" applyBorder="1" applyAlignment="1">
      <alignment vertical="center"/>
    </xf>
    <xf numFmtId="0" fontId="3" fillId="0" borderId="9" xfId="0" applyFont="1" applyBorder="1" applyAlignment="1">
      <alignment horizontal="right"/>
    </xf>
    <xf numFmtId="42" fontId="0" fillId="15" borderId="46" xfId="0" applyNumberFormat="1" applyFill="1" applyBorder="1" applyAlignment="1">
      <alignment horizontal="center"/>
    </xf>
    <xf numFmtId="42" fontId="0" fillId="15" borderId="76" xfId="0" applyNumberFormat="1" applyFill="1" applyBorder="1" applyAlignment="1">
      <alignment horizontal="center"/>
    </xf>
    <xf numFmtId="42" fontId="0" fillId="17" borderId="0" xfId="0" applyNumberFormat="1" applyFill="1" applyAlignment="1">
      <alignment horizontal="center"/>
    </xf>
    <xf numFmtId="0" fontId="3" fillId="22" borderId="8" xfId="0" applyFont="1" applyFill="1" applyBorder="1" applyAlignment="1">
      <alignment horizontal="right"/>
    </xf>
    <xf numFmtId="0" fontId="3" fillId="3" borderId="48" xfId="0" applyFont="1" applyFill="1" applyBorder="1" applyAlignment="1">
      <alignment horizontal="right"/>
    </xf>
    <xf numFmtId="0" fontId="3" fillId="14" borderId="70" xfId="0" applyFont="1" applyFill="1" applyBorder="1"/>
    <xf numFmtId="0" fontId="0" fillId="0" borderId="56" xfId="0" applyBorder="1" applyAlignment="1">
      <alignment horizontal="center"/>
    </xf>
    <xf numFmtId="42" fontId="0" fillId="15" borderId="45" xfId="0" applyNumberFormat="1" applyFill="1" applyBorder="1" applyAlignment="1">
      <alignment horizontal="center"/>
    </xf>
    <xf numFmtId="0" fontId="3" fillId="0" borderId="26" xfId="0" applyFont="1" applyBorder="1" applyAlignment="1">
      <alignment horizontal="right"/>
    </xf>
    <xf numFmtId="42" fontId="0" fillId="15" borderId="47" xfId="0" applyNumberFormat="1" applyFill="1" applyBorder="1" applyAlignment="1">
      <alignment horizontal="center"/>
    </xf>
    <xf numFmtId="0" fontId="0" fillId="0" borderId="26" xfId="0" applyBorder="1" applyAlignment="1">
      <alignment horizontal="left"/>
    </xf>
    <xf numFmtId="0" fontId="0" fillId="0" borderId="69" xfId="0" applyBorder="1" applyAlignment="1">
      <alignment horizontal="right"/>
    </xf>
    <xf numFmtId="0" fontId="0" fillId="0" borderId="32" xfId="0" applyBorder="1" applyAlignment="1">
      <alignment horizontal="right"/>
    </xf>
    <xf numFmtId="42" fontId="0" fillId="15" borderId="31" xfId="0" applyNumberFormat="1" applyFill="1" applyBorder="1" applyAlignment="1">
      <alignment horizontal="center"/>
    </xf>
    <xf numFmtId="42" fontId="0" fillId="15" borderId="32" xfId="0" applyNumberFormat="1" applyFill="1" applyBorder="1" applyAlignment="1">
      <alignment horizontal="center"/>
    </xf>
    <xf numFmtId="0" fontId="3" fillId="2" borderId="23" xfId="0" applyFont="1" applyFill="1" applyBorder="1" applyAlignment="1">
      <alignment horizontal="center"/>
    </xf>
    <xf numFmtId="0" fontId="3" fillId="2" borderId="77" xfId="0" applyFont="1" applyFill="1" applyBorder="1" applyAlignment="1">
      <alignment horizontal="left"/>
    </xf>
    <xf numFmtId="42" fontId="0" fillId="15" borderId="46" xfId="0" applyNumberFormat="1" applyFill="1" applyBorder="1"/>
    <xf numFmtId="0" fontId="0" fillId="0" borderId="24" xfId="0" applyBorder="1" applyAlignment="1">
      <alignment horizontal="center"/>
    </xf>
    <xf numFmtId="42" fontId="3" fillId="15" borderId="9" xfId="0" applyNumberFormat="1" applyFont="1" applyFill="1" applyBorder="1" applyAlignment="1">
      <alignment horizontal="center"/>
    </xf>
    <xf numFmtId="41" fontId="0" fillId="15" borderId="56" xfId="0" applyNumberFormat="1" applyFill="1" applyBorder="1" applyAlignment="1">
      <alignment horizontal="center" vertical="center"/>
    </xf>
    <xf numFmtId="41" fontId="0" fillId="15" borderId="54" xfId="0" applyNumberFormat="1" applyFill="1" applyBorder="1" applyAlignment="1">
      <alignment horizontal="center" vertical="center"/>
    </xf>
    <xf numFmtId="41" fontId="0" fillId="15" borderId="57" xfId="0" applyNumberFormat="1" applyFill="1" applyBorder="1" applyAlignment="1">
      <alignment horizontal="center" vertical="center"/>
    </xf>
    <xf numFmtId="0" fontId="0" fillId="17" borderId="23" xfId="0" applyFill="1" applyBorder="1" applyAlignment="1">
      <alignment vertical="center"/>
    </xf>
    <xf numFmtId="0" fontId="0" fillId="17" borderId="14" xfId="0" applyFill="1" applyBorder="1" applyAlignment="1">
      <alignment vertical="center"/>
    </xf>
    <xf numFmtId="42" fontId="0" fillId="15" borderId="56" xfId="0" applyNumberFormat="1" applyFill="1" applyBorder="1" applyAlignment="1">
      <alignment horizontal="center" vertical="center"/>
    </xf>
    <xf numFmtId="42" fontId="0" fillId="15" borderId="51" xfId="0" applyNumberFormat="1" applyFill="1" applyBorder="1" applyAlignment="1">
      <alignment horizontal="center" vertical="center"/>
    </xf>
    <xf numFmtId="42" fontId="3" fillId="3" borderId="48" xfId="0" applyNumberFormat="1" applyFont="1" applyFill="1" applyBorder="1" applyAlignment="1">
      <alignment vertical="center"/>
    </xf>
    <xf numFmtId="42" fontId="0" fillId="15" borderId="24" xfId="0" applyNumberFormat="1" applyFill="1" applyBorder="1" applyAlignment="1">
      <alignment horizontal="center" vertical="center"/>
    </xf>
    <xf numFmtId="42" fontId="0" fillId="15" borderId="16" xfId="0" applyNumberFormat="1" applyFill="1" applyBorder="1" applyAlignment="1">
      <alignment horizontal="center" vertical="center"/>
    </xf>
    <xf numFmtId="42" fontId="0" fillId="15" borderId="75" xfId="0" applyNumberFormat="1" applyFill="1" applyBorder="1" applyAlignment="1">
      <alignment horizontal="center" vertical="center"/>
    </xf>
    <xf numFmtId="42" fontId="3" fillId="3" borderId="70" xfId="0" applyNumberFormat="1" applyFont="1" applyFill="1" applyBorder="1" applyAlignment="1">
      <alignment horizontal="center" vertical="center"/>
    </xf>
    <xf numFmtId="42" fontId="0" fillId="15" borderId="47" xfId="0" applyNumberFormat="1" applyFill="1" applyBorder="1" applyAlignment="1">
      <alignment horizontal="center" vertical="center"/>
    </xf>
    <xf numFmtId="42" fontId="0" fillId="15" borderId="71" xfId="0" applyNumberFormat="1" applyFill="1" applyBorder="1" applyAlignment="1">
      <alignment horizontal="center" vertical="center"/>
    </xf>
    <xf numFmtId="42" fontId="0" fillId="15" borderId="76" xfId="0" applyNumberFormat="1" applyFill="1" applyBorder="1" applyAlignment="1">
      <alignment horizontal="center" vertical="center"/>
    </xf>
    <xf numFmtId="42" fontId="9" fillId="15" borderId="37" xfId="0" applyNumberFormat="1" applyFont="1" applyFill="1" applyBorder="1" applyAlignment="1">
      <alignment horizontal="center" vertical="center"/>
    </xf>
    <xf numFmtId="0" fontId="11" fillId="2" borderId="19" xfId="0" applyFont="1" applyFill="1" applyBorder="1" applyAlignment="1">
      <alignment horizontal="left" vertical="center"/>
    </xf>
    <xf numFmtId="0" fontId="11" fillId="2" borderId="49" xfId="0" applyFont="1" applyFill="1" applyBorder="1" applyAlignment="1">
      <alignment horizontal="left" vertical="center"/>
    </xf>
    <xf numFmtId="0" fontId="3" fillId="20" borderId="70" xfId="0" applyFont="1" applyFill="1" applyBorder="1" applyAlignment="1">
      <alignment horizontal="center" vertical="center"/>
    </xf>
    <xf numFmtId="0" fontId="3" fillId="6" borderId="70" xfId="0" applyFont="1" applyFill="1" applyBorder="1" applyAlignment="1">
      <alignment horizontal="center" vertical="center"/>
    </xf>
    <xf numFmtId="0" fontId="3" fillId="0" borderId="73" xfId="0" applyFont="1" applyBorder="1" applyAlignment="1">
      <alignment horizontal="center" vertical="center"/>
    </xf>
    <xf numFmtId="0" fontId="3" fillId="0" borderId="16" xfId="0" applyFont="1" applyBorder="1" applyAlignment="1">
      <alignment horizontal="center" vertical="center"/>
    </xf>
    <xf numFmtId="0" fontId="3" fillId="0" borderId="7" xfId="0" applyFont="1" applyBorder="1" applyAlignment="1">
      <alignment horizontal="center" vertical="center"/>
    </xf>
    <xf numFmtId="0" fontId="3" fillId="0" borderId="68" xfId="0" applyFont="1" applyBorder="1" applyAlignment="1">
      <alignment horizontal="center" vertical="center"/>
    </xf>
    <xf numFmtId="0" fontId="3" fillId="14" borderId="70" xfId="0" applyFont="1" applyFill="1" applyBorder="1" applyAlignment="1">
      <alignment horizontal="center" vertical="center"/>
    </xf>
    <xf numFmtId="0" fontId="3" fillId="0" borderId="75" xfId="0" applyFont="1" applyBorder="1" applyAlignment="1">
      <alignment horizontal="center" vertical="center"/>
    </xf>
    <xf numFmtId="0" fontId="3" fillId="0" borderId="70" xfId="0" applyFont="1" applyBorder="1" applyAlignment="1">
      <alignment horizontal="center" vertical="center"/>
    </xf>
    <xf numFmtId="0" fontId="3" fillId="0" borderId="78" xfId="0" applyFont="1" applyBorder="1" applyAlignment="1">
      <alignment horizontal="center" vertical="center"/>
    </xf>
    <xf numFmtId="0" fontId="3" fillId="6" borderId="79" xfId="0" applyFont="1" applyFill="1" applyBorder="1" applyAlignment="1">
      <alignment horizontal="center" vertical="center"/>
    </xf>
    <xf numFmtId="0" fontId="3" fillId="14" borderId="79"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68" xfId="0" applyFont="1" applyFill="1" applyBorder="1" applyAlignment="1">
      <alignment horizontal="center" vertical="center"/>
    </xf>
    <xf numFmtId="0" fontId="10" fillId="0" borderId="68" xfId="0" applyFont="1" applyBorder="1" applyAlignment="1">
      <alignment horizontal="center" vertical="center"/>
    </xf>
    <xf numFmtId="0" fontId="3" fillId="4" borderId="75" xfId="0" applyFont="1" applyFill="1" applyBorder="1" applyAlignment="1">
      <alignment horizontal="center" vertical="center"/>
    </xf>
    <xf numFmtId="0" fontId="10" fillId="0" borderId="75" xfId="0" applyFont="1" applyBorder="1" applyAlignment="1">
      <alignment horizontal="center" vertical="center"/>
    </xf>
    <xf numFmtId="0" fontId="61" fillId="4" borderId="75" xfId="0" applyFont="1" applyFill="1" applyBorder="1" applyAlignment="1">
      <alignment horizontal="center" vertical="center"/>
    </xf>
    <xf numFmtId="0" fontId="3" fillId="6" borderId="77" xfId="0" applyFont="1" applyFill="1" applyBorder="1" applyAlignment="1">
      <alignment horizontal="center" vertical="center"/>
    </xf>
    <xf numFmtId="0" fontId="2" fillId="14" borderId="70" xfId="0" applyFont="1" applyFill="1" applyBorder="1" applyAlignment="1">
      <alignment horizontal="center" vertical="center"/>
    </xf>
    <xf numFmtId="0" fontId="2" fillId="3" borderId="70" xfId="0" applyFont="1" applyFill="1" applyBorder="1" applyAlignment="1">
      <alignment horizontal="center" vertical="center"/>
    </xf>
    <xf numFmtId="0" fontId="10" fillId="0" borderId="7" xfId="0" applyFont="1" applyBorder="1" applyAlignment="1">
      <alignment horizontal="center" vertical="center"/>
    </xf>
    <xf numFmtId="0" fontId="3" fillId="3" borderId="70" xfId="0" applyFont="1" applyFill="1" applyBorder="1" applyAlignment="1">
      <alignment horizontal="center" vertical="center"/>
    </xf>
    <xf numFmtId="0" fontId="2" fillId="0" borderId="7" xfId="0" applyFont="1" applyBorder="1" applyAlignment="1">
      <alignment horizontal="center" vertical="center"/>
    </xf>
    <xf numFmtId="0" fontId="3" fillId="14" borderId="77" xfId="0" applyFont="1" applyFill="1" applyBorder="1" applyAlignment="1">
      <alignment horizontal="center" vertical="center"/>
    </xf>
    <xf numFmtId="0" fontId="0" fillId="0" borderId="7" xfId="0" quotePrefix="1" applyBorder="1" applyAlignment="1">
      <alignment horizontal="center" vertical="center" wrapText="1"/>
    </xf>
    <xf numFmtId="0" fontId="0" fillId="0" borderId="46" xfId="0" quotePrefix="1" applyBorder="1" applyAlignment="1">
      <alignment horizontal="center" vertical="center" wrapText="1"/>
    </xf>
    <xf numFmtId="0" fontId="11" fillId="0" borderId="7" xfId="0" applyFont="1" applyBorder="1" applyAlignment="1">
      <alignment horizontal="center" vertical="center"/>
    </xf>
    <xf numFmtId="0" fontId="11" fillId="14" borderId="70" xfId="0" applyFont="1" applyFill="1" applyBorder="1" applyAlignment="1">
      <alignment horizontal="center" vertical="center"/>
    </xf>
    <xf numFmtId="0" fontId="11" fillId="0" borderId="16" xfId="0" applyFont="1" applyBorder="1" applyAlignment="1">
      <alignment horizontal="center" vertical="center"/>
    </xf>
    <xf numFmtId="0" fontId="11" fillId="0" borderId="75" xfId="0" applyFont="1" applyBorder="1" applyAlignment="1">
      <alignment horizontal="center" vertical="center"/>
    </xf>
    <xf numFmtId="180" fontId="3" fillId="12" borderId="10" xfId="0" applyNumberFormat="1" applyFont="1" applyFill="1" applyBorder="1" applyAlignment="1">
      <alignment horizontal="center" vertical="center"/>
    </xf>
    <xf numFmtId="0" fontId="0" fillId="0" borderId="36" xfId="0" applyBorder="1" applyAlignment="1">
      <alignment vertical="center" wrapText="1"/>
    </xf>
    <xf numFmtId="44" fontId="9" fillId="15" borderId="18" xfId="0" applyNumberFormat="1" applyFont="1" applyFill="1" applyBorder="1" applyAlignment="1">
      <alignment horizontal="left" vertical="center" wrapText="1"/>
    </xf>
    <xf numFmtId="44" fontId="9" fillId="15" borderId="13" xfId="0" applyNumberFormat="1" applyFont="1" applyFill="1" applyBorder="1" applyAlignment="1">
      <alignment horizontal="left" vertical="center" wrapText="1"/>
    </xf>
    <xf numFmtId="44" fontId="9" fillId="15" borderId="65" xfId="0" applyNumberFormat="1" applyFont="1" applyFill="1" applyBorder="1" applyAlignment="1">
      <alignment horizontal="left" vertical="center" wrapText="1"/>
    </xf>
    <xf numFmtId="44" fontId="9" fillId="15" borderId="12" xfId="0" applyNumberFormat="1" applyFont="1" applyFill="1" applyBorder="1" applyAlignment="1">
      <alignment horizontal="left" vertical="center" wrapText="1"/>
    </xf>
    <xf numFmtId="44" fontId="9" fillId="15" borderId="21" xfId="0" applyNumberFormat="1" applyFont="1" applyFill="1" applyBorder="1" applyAlignment="1">
      <alignment horizontal="left" vertical="center" wrapText="1"/>
    </xf>
    <xf numFmtId="42" fontId="3" fillId="2" borderId="36" xfId="0" applyNumberFormat="1" applyFont="1" applyFill="1" applyBorder="1" applyAlignment="1">
      <alignment horizontal="center"/>
    </xf>
    <xf numFmtId="44" fontId="9" fillId="22" borderId="73" xfId="0" applyNumberFormat="1" applyFont="1" applyFill="1" applyBorder="1" applyAlignment="1">
      <alignment vertical="center"/>
    </xf>
    <xf numFmtId="44" fontId="9" fillId="22" borderId="11" xfId="0" applyNumberFormat="1" applyFont="1" applyFill="1" applyBorder="1" applyAlignment="1">
      <alignment vertical="center"/>
    </xf>
    <xf numFmtId="44" fontId="9" fillId="22" borderId="7" xfId="0" applyNumberFormat="1" applyFont="1" applyFill="1" applyBorder="1" applyAlignment="1">
      <alignment vertical="center"/>
    </xf>
    <xf numFmtId="44" fontId="9" fillId="22" borderId="1" xfId="0" applyNumberFormat="1" applyFont="1" applyFill="1" applyBorder="1" applyAlignment="1">
      <alignment vertical="center"/>
    </xf>
    <xf numFmtId="44" fontId="9" fillId="22" borderId="68" xfId="0" applyNumberFormat="1" applyFont="1" applyFill="1" applyBorder="1" applyAlignment="1">
      <alignment vertical="center"/>
    </xf>
    <xf numFmtId="44" fontId="9" fillId="22" borderId="20" xfId="0" applyNumberFormat="1" applyFont="1" applyFill="1" applyBorder="1" applyAlignment="1">
      <alignment vertical="center"/>
    </xf>
    <xf numFmtId="44" fontId="9" fillId="22" borderId="16" xfId="0" applyNumberFormat="1" applyFont="1" applyFill="1" applyBorder="1" applyAlignment="1">
      <alignment vertical="center"/>
    </xf>
    <xf numFmtId="44" fontId="9" fillId="22" borderId="17" xfId="0" applyNumberFormat="1" applyFont="1" applyFill="1" applyBorder="1" applyAlignment="1">
      <alignment vertical="center"/>
    </xf>
    <xf numFmtId="44" fontId="9" fillId="22" borderId="75" xfId="0" applyNumberFormat="1" applyFont="1" applyFill="1" applyBorder="1" applyAlignment="1">
      <alignment vertical="center"/>
    </xf>
    <xf numFmtId="44" fontId="9" fillId="22" borderId="6" xfId="0" applyNumberFormat="1" applyFont="1" applyFill="1" applyBorder="1" applyAlignment="1">
      <alignment vertical="center"/>
    </xf>
    <xf numFmtId="44" fontId="9" fillId="0" borderId="34" xfId="0" applyNumberFormat="1" applyFont="1" applyBorder="1" applyAlignment="1">
      <alignment vertical="center"/>
    </xf>
    <xf numFmtId="179" fontId="11" fillId="0" borderId="11" xfId="0" applyNumberFormat="1" applyFont="1" applyBorder="1" applyAlignment="1">
      <alignment horizontal="center" vertical="center"/>
    </xf>
    <xf numFmtId="179" fontId="11" fillId="0" borderId="1" xfId="0" applyNumberFormat="1" applyFont="1" applyBorder="1" applyAlignment="1">
      <alignment horizontal="center" vertical="center"/>
    </xf>
    <xf numFmtId="179" fontId="9" fillId="15" borderId="11" xfId="0" applyNumberFormat="1" applyFont="1" applyFill="1" applyBorder="1" applyAlignment="1">
      <alignment horizontal="center" vertical="center"/>
    </xf>
    <xf numFmtId="179" fontId="9" fillId="15" borderId="1" xfId="0" applyNumberFormat="1" applyFont="1" applyFill="1" applyBorder="1" applyAlignment="1">
      <alignment horizontal="center" vertical="center"/>
    </xf>
    <xf numFmtId="179" fontId="9" fillId="15" borderId="20" xfId="0" applyNumberFormat="1" applyFont="1" applyFill="1" applyBorder="1" applyAlignment="1">
      <alignment horizontal="center" vertical="center"/>
    </xf>
    <xf numFmtId="179" fontId="11" fillId="0" borderId="20" xfId="0" applyNumberFormat="1" applyFont="1" applyBorder="1" applyAlignment="1">
      <alignment horizontal="center" vertical="center"/>
    </xf>
    <xf numFmtId="44" fontId="9" fillId="22" borderId="33" xfId="0" applyNumberFormat="1" applyFont="1" applyFill="1" applyBorder="1" applyAlignment="1">
      <alignment vertical="center"/>
    </xf>
    <xf numFmtId="44" fontId="9" fillId="22" borderId="12" xfId="0" applyNumberFormat="1" applyFont="1" applyFill="1" applyBorder="1" applyAlignment="1">
      <alignment vertical="center"/>
    </xf>
    <xf numFmtId="44" fontId="84" fillId="0" borderId="17" xfId="0" applyNumberFormat="1" applyFont="1" applyBorder="1" applyAlignment="1">
      <alignment vertical="center"/>
    </xf>
    <xf numFmtId="44" fontId="84" fillId="0" borderId="1" xfId="0" applyNumberFormat="1" applyFont="1" applyBorder="1" applyAlignment="1">
      <alignment vertical="center"/>
    </xf>
    <xf numFmtId="44" fontId="84" fillId="0" borderId="20" xfId="0" applyNumberFormat="1" applyFont="1" applyBorder="1" applyAlignment="1">
      <alignment vertical="center" wrapText="1"/>
    </xf>
    <xf numFmtId="10" fontId="0" fillId="0" borderId="5" xfId="0" applyNumberFormat="1" applyBorder="1" applyAlignment="1">
      <alignment horizontal="center" vertical="center"/>
    </xf>
    <xf numFmtId="10" fontId="0" fillId="22" borderId="38" xfId="0" applyNumberFormat="1" applyFill="1" applyBorder="1" applyAlignment="1">
      <alignment horizontal="center" vertical="center"/>
    </xf>
    <xf numFmtId="10" fontId="0" fillId="22" borderId="37" xfId="0" applyNumberFormat="1" applyFill="1" applyBorder="1" applyAlignment="1">
      <alignment horizontal="center" vertical="center"/>
    </xf>
    <xf numFmtId="10" fontId="0" fillId="22" borderId="39" xfId="0" applyNumberFormat="1" applyFill="1" applyBorder="1" applyAlignment="1">
      <alignment horizontal="center" vertical="center"/>
    </xf>
    <xf numFmtId="44" fontId="84" fillId="0" borderId="17" xfId="0" applyNumberFormat="1" applyFont="1" applyBorder="1" applyAlignment="1">
      <alignment vertical="center" wrapText="1"/>
    </xf>
    <xf numFmtId="168" fontId="84" fillId="0" borderId="41" xfId="0" applyNumberFormat="1" applyFont="1" applyBorder="1" applyAlignment="1">
      <alignment horizontal="center" vertical="center"/>
    </xf>
    <xf numFmtId="44" fontId="84" fillId="0" borderId="1" xfId="0" applyNumberFormat="1" applyFont="1" applyBorder="1" applyAlignment="1">
      <alignment vertical="center" wrapText="1"/>
    </xf>
    <xf numFmtId="168" fontId="84" fillId="0" borderId="37" xfId="0" applyNumberFormat="1" applyFont="1" applyBorder="1" applyAlignment="1">
      <alignment horizontal="center" vertical="center"/>
    </xf>
    <xf numFmtId="168" fontId="84" fillId="0" borderId="39" xfId="0" applyNumberFormat="1" applyFont="1" applyBorder="1" applyAlignment="1">
      <alignment horizontal="center" vertical="center"/>
    </xf>
    <xf numFmtId="42" fontId="0" fillId="15" borderId="75" xfId="0" applyNumberFormat="1" applyFill="1" applyBorder="1" applyAlignment="1">
      <alignment horizontal="center"/>
    </xf>
    <xf numFmtId="42" fontId="3" fillId="2" borderId="70" xfId="0" applyNumberFormat="1" applyFont="1" applyFill="1" applyBorder="1" applyAlignment="1">
      <alignment horizontal="center"/>
    </xf>
    <xf numFmtId="0" fontId="11" fillId="2" borderId="19" xfId="0" applyFont="1" applyFill="1" applyBorder="1" applyAlignment="1">
      <alignment horizontal="centerContinuous" vertical="center"/>
    </xf>
    <xf numFmtId="0" fontId="11" fillId="2" borderId="48" xfId="0" applyFont="1" applyFill="1" applyBorder="1" applyAlignment="1">
      <alignment horizontal="center" vertical="center"/>
    </xf>
    <xf numFmtId="0" fontId="11" fillId="2" borderId="48" xfId="0" applyFont="1" applyFill="1" applyBorder="1" applyAlignment="1">
      <alignment horizontal="left" vertical="center"/>
    </xf>
    <xf numFmtId="0" fontId="14" fillId="0" borderId="59" xfId="0" applyFont="1" applyBorder="1" applyAlignment="1">
      <alignment horizontal="left" vertical="center" indent="1"/>
    </xf>
    <xf numFmtId="0" fontId="9" fillId="0" borderId="3" xfId="0" applyFont="1" applyBorder="1" applyAlignment="1">
      <alignment horizontal="left" vertical="center" indent="1"/>
    </xf>
    <xf numFmtId="0" fontId="9" fillId="0" borderId="53" xfId="0" applyFont="1" applyBorder="1" applyAlignment="1">
      <alignment horizontal="center" vertical="center"/>
    </xf>
    <xf numFmtId="44" fontId="9" fillId="0" borderId="64" xfId="0" applyNumberFormat="1" applyFont="1" applyBorder="1" applyAlignment="1">
      <alignment horizontal="left" vertical="center"/>
    </xf>
    <xf numFmtId="44" fontId="9" fillId="0" borderId="33" xfId="0" applyNumberFormat="1" applyFont="1" applyBorder="1" applyAlignment="1">
      <alignment horizontal="left" vertical="center"/>
    </xf>
    <xf numFmtId="0" fontId="9" fillId="0" borderId="1" xfId="0" applyFont="1" applyBorder="1" applyAlignment="1">
      <alignment horizontal="right" vertical="center" wrapText="1"/>
    </xf>
    <xf numFmtId="42" fontId="10" fillId="17" borderId="47" xfId="0" applyNumberFormat="1" applyFont="1" applyFill="1" applyBorder="1" applyAlignment="1">
      <alignment horizontal="center" vertical="center"/>
    </xf>
    <xf numFmtId="42" fontId="10" fillId="17" borderId="26" xfId="0" applyNumberFormat="1" applyFont="1" applyFill="1" applyBorder="1" applyAlignment="1">
      <alignment horizontal="center" vertical="center"/>
    </xf>
    <xf numFmtId="0" fontId="3" fillId="0" borderId="36" xfId="0" applyFont="1" applyBorder="1" applyAlignment="1">
      <alignment horizontal="center" vertical="center"/>
    </xf>
    <xf numFmtId="44" fontId="11" fillId="2" borderId="28" xfId="0" applyNumberFormat="1" applyFont="1" applyFill="1" applyBorder="1" applyAlignment="1">
      <alignment horizontal="center" vertical="center"/>
    </xf>
    <xf numFmtId="44" fontId="9" fillId="15" borderId="69" xfId="0" applyNumberFormat="1" applyFont="1" applyFill="1" applyBorder="1" applyAlignment="1">
      <alignment horizontal="center" vertical="center"/>
    </xf>
    <xf numFmtId="44" fontId="11" fillId="2" borderId="36" xfId="0" applyNumberFormat="1" applyFont="1" applyFill="1" applyBorder="1" applyAlignment="1">
      <alignment horizontal="center" vertical="center"/>
    </xf>
    <xf numFmtId="44" fontId="84" fillId="0" borderId="42" xfId="0" applyNumberFormat="1" applyFont="1" applyBorder="1" applyAlignment="1">
      <alignment horizontal="left" vertical="center"/>
    </xf>
    <xf numFmtId="44" fontId="9" fillId="0" borderId="57" xfId="0" applyNumberFormat="1" applyFont="1" applyBorder="1" applyAlignment="1">
      <alignment horizontal="left" vertical="center"/>
    </xf>
    <xf numFmtId="0" fontId="3" fillId="2" borderId="48" xfId="0" applyFont="1" applyFill="1" applyBorder="1" applyAlignment="1">
      <alignment horizontal="centerContinuous" vertical="center"/>
    </xf>
    <xf numFmtId="0" fontId="3" fillId="2" borderId="28" xfId="0" applyFont="1" applyFill="1" applyBorder="1" applyAlignment="1">
      <alignment horizontal="centerContinuous" vertical="center"/>
    </xf>
    <xf numFmtId="44" fontId="84" fillId="0" borderId="38" xfId="0" applyNumberFormat="1" applyFont="1" applyBorder="1" applyAlignment="1">
      <alignment horizontal="left" vertical="center"/>
    </xf>
    <xf numFmtId="44" fontId="84" fillId="0" borderId="47" xfId="0" applyNumberFormat="1" applyFont="1" applyBorder="1" applyAlignment="1">
      <alignment horizontal="left" vertical="center"/>
    </xf>
    <xf numFmtId="0" fontId="3" fillId="2" borderId="49" xfId="0" applyFont="1" applyFill="1" applyBorder="1" applyAlignment="1">
      <alignment horizontal="centerContinuous" vertical="center"/>
    </xf>
    <xf numFmtId="0" fontId="3" fillId="2" borderId="50" xfId="0" applyFont="1" applyFill="1" applyBorder="1" applyAlignment="1">
      <alignment horizontal="centerContinuous" vertical="center"/>
    </xf>
    <xf numFmtId="44" fontId="9" fillId="15" borderId="33" xfId="0" applyNumberFormat="1" applyFont="1" applyFill="1" applyBorder="1" applyAlignment="1">
      <alignment horizontal="center" vertical="center"/>
    </xf>
    <xf numFmtId="44" fontId="9" fillId="15" borderId="31" xfId="0" applyNumberFormat="1" applyFont="1" applyFill="1" applyBorder="1" applyAlignment="1">
      <alignment horizontal="center" vertical="center"/>
    </xf>
    <xf numFmtId="44" fontId="9" fillId="15" borderId="29" xfId="0" applyNumberFormat="1" applyFont="1" applyFill="1" applyBorder="1" applyAlignment="1">
      <alignment horizontal="center" vertical="center"/>
    </xf>
    <xf numFmtId="42" fontId="0" fillId="15" borderId="31" xfId="0" applyNumberFormat="1" applyFill="1" applyBorder="1" applyAlignment="1">
      <alignment horizontal="center" vertical="center"/>
    </xf>
    <xf numFmtId="168" fontId="9" fillId="0" borderId="15" xfId="0" applyNumberFormat="1" applyFont="1" applyBorder="1" applyAlignment="1">
      <alignment horizontal="left" vertical="center"/>
    </xf>
    <xf numFmtId="168" fontId="9" fillId="0" borderId="9" xfId="0" applyNumberFormat="1" applyFont="1" applyBorder="1" applyAlignment="1">
      <alignment horizontal="left" vertical="center"/>
    </xf>
    <xf numFmtId="168" fontId="9" fillId="0" borderId="26" xfId="0" applyNumberFormat="1" applyFont="1" applyBorder="1" applyAlignment="1">
      <alignment horizontal="left" vertical="center"/>
    </xf>
    <xf numFmtId="0" fontId="3" fillId="0" borderId="33" xfId="0" applyFont="1" applyBorder="1" applyAlignment="1">
      <alignment horizontal="center" vertical="center"/>
    </xf>
    <xf numFmtId="0" fontId="0" fillId="0" borderId="69" xfId="0" applyBorder="1" applyAlignment="1">
      <alignment horizontal="centerContinuous" vertical="center"/>
    </xf>
    <xf numFmtId="0" fontId="0" fillId="0" borderId="71" xfId="0" applyBorder="1" applyAlignment="1">
      <alignment horizontal="centerContinuous" vertical="center"/>
    </xf>
    <xf numFmtId="0" fontId="0" fillId="0" borderId="53" xfId="0" applyBorder="1" applyAlignment="1">
      <alignment horizontal="centerContinuous" vertical="top"/>
    </xf>
    <xf numFmtId="0" fontId="0" fillId="0" borderId="69" xfId="0" applyBorder="1" applyAlignment="1">
      <alignment horizontal="centerContinuous" vertical="top"/>
    </xf>
    <xf numFmtId="0" fontId="3" fillId="2" borderId="19" xfId="0" applyFont="1" applyFill="1" applyBorder="1" applyAlignment="1">
      <alignment horizontal="centerContinuous" vertical="center"/>
    </xf>
    <xf numFmtId="0" fontId="3" fillId="2" borderId="28" xfId="0" applyFont="1" applyFill="1" applyBorder="1" applyAlignment="1">
      <alignment horizontal="centerContinuous" vertical="top"/>
    </xf>
    <xf numFmtId="9" fontId="0" fillId="0" borderId="12" xfId="0" applyNumberFormat="1" applyBorder="1" applyAlignment="1">
      <alignment horizontal="center" vertical="center"/>
    </xf>
    <xf numFmtId="9" fontId="0" fillId="0" borderId="13" xfId="0" applyNumberFormat="1" applyBorder="1" applyAlignment="1">
      <alignment horizontal="center" vertical="center"/>
    </xf>
    <xf numFmtId="9" fontId="0" fillId="0" borderId="21" xfId="0" applyNumberFormat="1" applyBorder="1" applyAlignment="1">
      <alignment horizontal="center" vertical="center"/>
    </xf>
    <xf numFmtId="0" fontId="25" fillId="0" borderId="17" xfId="0" applyFont="1" applyBorder="1" applyAlignment="1">
      <alignment vertical="center" wrapText="1"/>
    </xf>
    <xf numFmtId="42" fontId="11" fillId="17" borderId="71" xfId="0" applyNumberFormat="1" applyFont="1" applyFill="1" applyBorder="1" applyAlignment="1">
      <alignment horizontal="center" vertical="center"/>
    </xf>
    <xf numFmtId="42" fontId="11" fillId="17" borderId="69" xfId="0" applyNumberFormat="1" applyFont="1" applyFill="1" applyBorder="1" applyAlignment="1">
      <alignment horizontal="center" vertical="center"/>
    </xf>
    <xf numFmtId="42" fontId="29" fillId="3" borderId="5" xfId="0" applyNumberFormat="1" applyFont="1" applyFill="1" applyBorder="1" applyAlignment="1">
      <alignment horizontal="center"/>
    </xf>
    <xf numFmtId="42" fontId="0" fillId="15" borderId="73" xfId="0" applyNumberFormat="1" applyFill="1" applyBorder="1" applyAlignment="1">
      <alignment horizontal="center"/>
    </xf>
    <xf numFmtId="42" fontId="0" fillId="15" borderId="7" xfId="0" applyNumberFormat="1" applyFill="1" applyBorder="1" applyAlignment="1">
      <alignment horizontal="center"/>
    </xf>
    <xf numFmtId="42" fontId="3" fillId="7" borderId="70" xfId="0" applyNumberFormat="1" applyFont="1" applyFill="1" applyBorder="1" applyAlignment="1">
      <alignment horizontal="center"/>
    </xf>
    <xf numFmtId="42" fontId="9" fillId="15" borderId="16" xfId="0" applyNumberFormat="1" applyFont="1" applyFill="1" applyBorder="1" applyAlignment="1">
      <alignment horizontal="center"/>
    </xf>
    <xf numFmtId="42" fontId="0" fillId="7" borderId="70" xfId="0" applyNumberFormat="1" applyFill="1" applyBorder="1" applyAlignment="1">
      <alignment horizontal="center"/>
    </xf>
    <xf numFmtId="42" fontId="0" fillId="15" borderId="16" xfId="0" applyNumberFormat="1" applyFill="1" applyBorder="1" applyAlignment="1">
      <alignment horizontal="center"/>
    </xf>
    <xf numFmtId="42" fontId="0" fillId="15" borderId="68" xfId="0" applyNumberFormat="1" applyFill="1" applyBorder="1" applyAlignment="1">
      <alignment horizontal="center"/>
    </xf>
    <xf numFmtId="42" fontId="0" fillId="15" borderId="33" xfId="0" applyNumberFormat="1" applyFill="1" applyBorder="1" applyAlignment="1">
      <alignment horizontal="center"/>
    </xf>
    <xf numFmtId="42" fontId="0" fillId="15" borderId="34" xfId="0" applyNumberFormat="1" applyFill="1" applyBorder="1" applyAlignment="1">
      <alignment horizontal="center"/>
    </xf>
    <xf numFmtId="42" fontId="0" fillId="15" borderId="64" xfId="0" applyNumberFormat="1" applyFill="1" applyBorder="1" applyAlignment="1">
      <alignment horizontal="center"/>
    </xf>
    <xf numFmtId="42" fontId="3" fillId="7" borderId="36" xfId="0" applyNumberFormat="1" applyFont="1" applyFill="1" applyBorder="1" applyAlignment="1">
      <alignment horizontal="center"/>
    </xf>
    <xf numFmtId="42" fontId="9" fillId="15" borderId="43" xfId="0" applyNumberFormat="1" applyFont="1" applyFill="1" applyBorder="1" applyAlignment="1">
      <alignment horizontal="center"/>
    </xf>
    <xf numFmtId="42" fontId="11" fillId="7" borderId="5" xfId="0" applyNumberFormat="1" applyFont="1" applyFill="1" applyBorder="1" applyAlignment="1">
      <alignment horizontal="center"/>
    </xf>
    <xf numFmtId="42" fontId="9" fillId="15" borderId="13" xfId="0" applyNumberFormat="1" applyFont="1" applyFill="1" applyBorder="1" applyAlignment="1">
      <alignment horizontal="center"/>
    </xf>
    <xf numFmtId="42" fontId="0" fillId="7" borderId="36" xfId="0" applyNumberFormat="1" applyFill="1" applyBorder="1" applyAlignment="1">
      <alignment horizontal="center"/>
    </xf>
    <xf numFmtId="42" fontId="0" fillId="15" borderId="43" xfId="0" applyNumberFormat="1" applyFill="1" applyBorder="1" applyAlignment="1">
      <alignment horizontal="center"/>
    </xf>
    <xf numFmtId="42" fontId="0" fillId="15" borderId="35" xfId="0" applyNumberFormat="1" applyFill="1" applyBorder="1" applyAlignment="1">
      <alignment horizontal="center"/>
    </xf>
    <xf numFmtId="0" fontId="3" fillId="2" borderId="28" xfId="0" applyFont="1" applyFill="1" applyBorder="1" applyAlignment="1">
      <alignment horizontal="center" vertical="center"/>
    </xf>
    <xf numFmtId="1" fontId="0" fillId="15" borderId="8" xfId="0" applyNumberFormat="1" applyFill="1" applyBorder="1" applyAlignment="1">
      <alignment horizontal="center" vertical="center"/>
    </xf>
    <xf numFmtId="1" fontId="3" fillId="3" borderId="8" xfId="0" applyNumberFormat="1" applyFont="1" applyFill="1" applyBorder="1" applyAlignment="1">
      <alignment horizontal="center" vertical="center"/>
    </xf>
    <xf numFmtId="1" fontId="0" fillId="15" borderId="24" xfId="0" applyNumberFormat="1" applyFill="1" applyBorder="1" applyAlignment="1">
      <alignment horizontal="center" vertical="center"/>
    </xf>
    <xf numFmtId="0" fontId="0" fillId="15" borderId="24" xfId="0" applyFill="1" applyBorder="1" applyAlignment="1">
      <alignment horizontal="center"/>
    </xf>
    <xf numFmtId="0" fontId="9" fillId="0" borderId="46" xfId="0" applyFont="1" applyBorder="1" applyAlignment="1">
      <alignment horizontal="center"/>
    </xf>
    <xf numFmtId="44" fontId="3" fillId="3" borderId="48" xfId="0" applyNumberFormat="1" applyFont="1" applyFill="1" applyBorder="1" applyAlignment="1">
      <alignment horizontal="left" vertical="center"/>
    </xf>
    <xf numFmtId="0" fontId="9" fillId="3" borderId="19" xfId="0" applyFont="1" applyFill="1" applyBorder="1" applyAlignment="1">
      <alignment horizontal="center"/>
    </xf>
    <xf numFmtId="0" fontId="9" fillId="0" borderId="45" xfId="0" applyFont="1" applyBorder="1" applyAlignment="1">
      <alignment horizontal="center"/>
    </xf>
    <xf numFmtId="44" fontId="3" fillId="0" borderId="57" xfId="0" applyNumberFormat="1" applyFont="1" applyBorder="1" applyAlignment="1">
      <alignment horizontal="center" vertical="center"/>
    </xf>
    <xf numFmtId="0" fontId="9" fillId="0" borderId="47" xfId="0" applyFont="1" applyBorder="1" applyAlignment="1">
      <alignment horizontal="center"/>
    </xf>
    <xf numFmtId="0" fontId="11" fillId="3" borderId="70" xfId="0" applyFont="1" applyFill="1" applyBorder="1" applyAlignment="1">
      <alignment horizontal="right"/>
    </xf>
    <xf numFmtId="0" fontId="9" fillId="0" borderId="58" xfId="0" applyFont="1" applyBorder="1" applyAlignment="1">
      <alignment horizontal="right"/>
    </xf>
    <xf numFmtId="44" fontId="9" fillId="0" borderId="31" xfId="0" applyNumberFormat="1" applyFont="1" applyBorder="1" applyAlignment="1">
      <alignment horizontal="right"/>
    </xf>
    <xf numFmtId="44" fontId="9" fillId="0" borderId="32" xfId="0" applyNumberFormat="1" applyFont="1" applyBorder="1" applyAlignment="1">
      <alignment horizontal="right"/>
    </xf>
    <xf numFmtId="0" fontId="9" fillId="0" borderId="32" xfId="0" applyFont="1" applyBorder="1" applyAlignment="1">
      <alignment horizontal="right"/>
    </xf>
    <xf numFmtId="44" fontId="3" fillId="0" borderId="56" xfId="0" applyNumberFormat="1" applyFont="1" applyBorder="1" applyAlignment="1">
      <alignment horizontal="left" vertical="center"/>
    </xf>
    <xf numFmtId="0" fontId="9" fillId="0" borderId="31" xfId="0" applyFont="1" applyBorder="1" applyAlignment="1">
      <alignment horizontal="right"/>
    </xf>
    <xf numFmtId="44" fontId="3" fillId="0" borderId="54" xfId="0" applyNumberFormat="1" applyFont="1" applyBorder="1" applyAlignment="1">
      <alignment horizontal="left" vertical="center"/>
    </xf>
    <xf numFmtId="44" fontId="3" fillId="0" borderId="57" xfId="0" applyNumberFormat="1" applyFont="1" applyBorder="1" applyAlignment="1">
      <alignment horizontal="left" vertical="center"/>
    </xf>
    <xf numFmtId="0" fontId="11" fillId="2" borderId="70" xfId="0" applyFont="1" applyFill="1" applyBorder="1" applyAlignment="1">
      <alignment horizontal="center" vertical="center" wrapText="1"/>
    </xf>
    <xf numFmtId="42" fontId="9" fillId="10" borderId="33" xfId="0" applyNumberFormat="1" applyFont="1" applyFill="1" applyBorder="1" applyAlignment="1">
      <alignment horizontal="center"/>
    </xf>
    <xf numFmtId="42" fontId="9" fillId="10" borderId="34" xfId="0" applyNumberFormat="1" applyFont="1" applyFill="1" applyBorder="1" applyAlignment="1">
      <alignment horizontal="center"/>
    </xf>
    <xf numFmtId="42" fontId="9" fillId="10" borderId="64" xfId="0" applyNumberFormat="1" applyFont="1" applyFill="1" applyBorder="1" applyAlignment="1">
      <alignment horizontal="center"/>
    </xf>
    <xf numFmtId="14" fontId="3" fillId="15" borderId="8" xfId="0" applyNumberFormat="1" applyFont="1" applyFill="1" applyBorder="1" applyAlignment="1">
      <alignment horizontal="center" vertical="center"/>
    </xf>
    <xf numFmtId="14" fontId="3" fillId="15" borderId="9" xfId="0" applyNumberFormat="1" applyFont="1" applyFill="1" applyBorder="1" applyAlignment="1">
      <alignment horizontal="center" vertical="center"/>
    </xf>
    <xf numFmtId="14" fontId="3" fillId="15" borderId="26" xfId="0" applyNumberFormat="1" applyFont="1" applyFill="1" applyBorder="1" applyAlignment="1">
      <alignment horizontal="center" vertical="center"/>
    </xf>
    <xf numFmtId="42" fontId="9" fillId="10" borderId="37" xfId="0" applyNumberFormat="1" applyFont="1" applyFill="1" applyBorder="1" applyAlignment="1">
      <alignment horizontal="center"/>
    </xf>
    <xf numFmtId="42" fontId="9" fillId="10" borderId="42" xfId="0" applyNumberFormat="1" applyFont="1" applyFill="1" applyBorder="1" applyAlignment="1">
      <alignment horizontal="center"/>
    </xf>
    <xf numFmtId="42" fontId="9" fillId="10" borderId="38" xfId="0" applyNumberFormat="1" applyFont="1" applyFill="1" applyBorder="1" applyAlignment="1">
      <alignment horizontal="center"/>
    </xf>
    <xf numFmtId="0" fontId="3" fillId="3" borderId="19" xfId="0" applyFont="1" applyFill="1" applyBorder="1" applyAlignment="1">
      <alignment horizontal="right"/>
    </xf>
    <xf numFmtId="0" fontId="0" fillId="15" borderId="69" xfId="0" applyFill="1" applyBorder="1" applyAlignment="1">
      <alignment horizontal="center"/>
    </xf>
    <xf numFmtId="0" fontId="0" fillId="15" borderId="58" xfId="0" applyFill="1" applyBorder="1" applyAlignment="1">
      <alignment horizontal="center"/>
    </xf>
    <xf numFmtId="0" fontId="0" fillId="15" borderId="32" xfId="0" applyFill="1" applyBorder="1" applyAlignment="1">
      <alignment horizontal="center"/>
    </xf>
    <xf numFmtId="6" fontId="47" fillId="10" borderId="23" xfId="1" applyNumberFormat="1" applyFont="1" applyFill="1" applyBorder="1" applyAlignment="1">
      <alignment horizontal="center" vertical="top"/>
    </xf>
    <xf numFmtId="6" fontId="9" fillId="10" borderId="3" xfId="1" applyNumberFormat="1" applyFont="1" applyFill="1" applyBorder="1" applyAlignment="1">
      <alignment horizontal="center" vertical="top"/>
    </xf>
    <xf numFmtId="6" fontId="9" fillId="10" borderId="28" xfId="1" applyNumberFormat="1" applyFont="1" applyFill="1" applyBorder="1" applyAlignment="1">
      <alignment horizontal="center" vertical="top"/>
    </xf>
    <xf numFmtId="6" fontId="9" fillId="10" borderId="15" xfId="1" applyNumberFormat="1" applyFont="1" applyFill="1" applyBorder="1" applyAlignment="1">
      <alignment horizontal="center" vertical="top"/>
    </xf>
    <xf numFmtId="6" fontId="9" fillId="0" borderId="0" xfId="1" applyNumberFormat="1" applyFont="1" applyAlignment="1">
      <alignment horizontal="left" vertical="top"/>
    </xf>
    <xf numFmtId="6" fontId="9" fillId="10" borderId="9" xfId="1" applyNumberFormat="1" applyFont="1" applyFill="1" applyBorder="1" applyAlignment="1">
      <alignment horizontal="center" vertical="top"/>
    </xf>
    <xf numFmtId="6" fontId="9" fillId="10" borderId="10" xfId="1" applyNumberFormat="1" applyFont="1" applyFill="1" applyBorder="1" applyAlignment="1">
      <alignment horizontal="center" vertical="top"/>
    </xf>
    <xf numFmtId="0" fontId="0" fillId="0" borderId="73" xfId="0" quotePrefix="1" applyBorder="1" applyAlignment="1">
      <alignment wrapText="1"/>
    </xf>
    <xf numFmtId="0" fontId="0" fillId="0" borderId="21" xfId="0" applyBorder="1" applyAlignment="1">
      <alignment vertical="center" wrapText="1"/>
    </xf>
    <xf numFmtId="0" fontId="0" fillId="0" borderId="73" xfId="0" applyBorder="1" applyAlignment="1">
      <alignment vertical="center" wrapText="1"/>
    </xf>
    <xf numFmtId="0" fontId="0" fillId="0" borderId="68" xfId="0" quotePrefix="1" applyBorder="1" applyAlignment="1">
      <alignment wrapText="1"/>
    </xf>
    <xf numFmtId="0" fontId="29" fillId="6" borderId="48" xfId="0" applyFont="1" applyFill="1" applyBorder="1"/>
    <xf numFmtId="0" fontId="36" fillId="20" borderId="28" xfId="0" applyFont="1" applyFill="1" applyBorder="1" applyAlignment="1">
      <alignment horizontal="center"/>
    </xf>
    <xf numFmtId="0" fontId="3" fillId="2" borderId="62" xfId="0" applyFont="1" applyFill="1" applyBorder="1" applyAlignment="1">
      <alignment horizontal="center" vertical="center"/>
    </xf>
    <xf numFmtId="0" fontId="3" fillId="2" borderId="77" xfId="0" applyFont="1" applyFill="1" applyBorder="1" applyAlignment="1">
      <alignment horizontal="center" vertical="center"/>
    </xf>
    <xf numFmtId="0" fontId="3" fillId="3" borderId="14" xfId="0" applyFont="1" applyFill="1" applyBorder="1" applyAlignment="1">
      <alignment horizontal="center"/>
    </xf>
    <xf numFmtId="0" fontId="11" fillId="14" borderId="48" xfId="0" applyFont="1" applyFill="1" applyBorder="1" applyAlignment="1">
      <alignment horizontal="left" vertical="center"/>
    </xf>
    <xf numFmtId="9" fontId="0" fillId="10" borderId="15" xfId="0" applyNumberFormat="1" applyFill="1" applyBorder="1" applyAlignment="1">
      <alignment horizontal="center"/>
    </xf>
    <xf numFmtId="9" fontId="0" fillId="10" borderId="9" xfId="0" applyNumberFormat="1" applyFill="1" applyBorder="1" applyAlignment="1">
      <alignment horizontal="center"/>
    </xf>
    <xf numFmtId="9" fontId="0" fillId="10" borderId="26" xfId="0" applyNumberFormat="1" applyFill="1" applyBorder="1" applyAlignment="1">
      <alignment horizontal="center"/>
    </xf>
    <xf numFmtId="0" fontId="3" fillId="0" borderId="8" xfId="0" quotePrefix="1" applyFont="1" applyBorder="1" applyAlignment="1">
      <alignment horizontal="center"/>
    </xf>
    <xf numFmtId="0" fontId="3" fillId="0" borderId="9" xfId="0" quotePrefix="1" applyFont="1" applyBorder="1" applyAlignment="1">
      <alignment horizontal="center"/>
    </xf>
    <xf numFmtId="0" fontId="3" fillId="0" borderId="26" xfId="0" quotePrefix="1" applyFont="1" applyBorder="1" applyAlignment="1">
      <alignment horizontal="center"/>
    </xf>
    <xf numFmtId="0" fontId="3" fillId="16" borderId="61" xfId="0" applyFont="1" applyFill="1" applyBorder="1" applyAlignment="1">
      <alignment vertical="center" wrapText="1"/>
    </xf>
    <xf numFmtId="0" fontId="3" fillId="16" borderId="77" xfId="0" applyFont="1" applyFill="1" applyBorder="1" applyAlignment="1">
      <alignment horizontal="center" vertical="center"/>
    </xf>
    <xf numFmtId="0" fontId="3" fillId="16" borderId="66" xfId="0" applyFont="1" applyFill="1" applyBorder="1" applyAlignment="1">
      <alignment horizontal="center" vertical="center"/>
    </xf>
    <xf numFmtId="0" fontId="0" fillId="0" borderId="0" xfId="0" applyAlignment="1">
      <alignment wrapText="1"/>
    </xf>
    <xf numFmtId="0" fontId="0" fillId="0" borderId="76" xfId="0" applyBorder="1" applyAlignment="1">
      <alignment horizontal="right"/>
    </xf>
    <xf numFmtId="42" fontId="0" fillId="10" borderId="71" xfId="0" applyNumberFormat="1" applyFill="1" applyBorder="1"/>
    <xf numFmtId="42" fontId="0" fillId="10" borderId="46" xfId="0" applyNumberFormat="1" applyFill="1" applyBorder="1"/>
    <xf numFmtId="42" fontId="0" fillId="10" borderId="76" xfId="0" applyNumberFormat="1" applyFill="1" applyBorder="1"/>
    <xf numFmtId="42" fontId="0" fillId="10" borderId="43" xfId="0" applyNumberFormat="1" applyFill="1" applyBorder="1"/>
    <xf numFmtId="42" fontId="0" fillId="10" borderId="69" xfId="0" applyNumberFormat="1" applyFill="1" applyBorder="1"/>
    <xf numFmtId="42" fontId="0" fillId="10" borderId="34" xfId="0" applyNumberFormat="1" applyFill="1" applyBorder="1"/>
    <xf numFmtId="42" fontId="0" fillId="10" borderId="58" xfId="0" applyNumberFormat="1" applyFill="1" applyBorder="1"/>
    <xf numFmtId="42" fontId="0" fillId="10" borderId="35" xfId="0" applyNumberFormat="1" applyFill="1" applyBorder="1"/>
    <xf numFmtId="42" fontId="0" fillId="10" borderId="32" xfId="0" applyNumberFormat="1" applyFill="1" applyBorder="1"/>
    <xf numFmtId="0" fontId="3" fillId="0" borderId="9" xfId="0" applyFont="1" applyBorder="1" applyAlignment="1">
      <alignment horizontal="center"/>
    </xf>
    <xf numFmtId="0" fontId="3" fillId="0" borderId="10" xfId="0" applyFont="1" applyBorder="1" applyAlignment="1">
      <alignment horizontal="center"/>
    </xf>
    <xf numFmtId="42" fontId="0" fillId="17" borderId="76" xfId="0" applyNumberFormat="1" applyFill="1" applyBorder="1" applyAlignment="1">
      <alignment horizontal="center"/>
    </xf>
    <xf numFmtId="0" fontId="0" fillId="15" borderId="33" xfId="0" quotePrefix="1" applyFill="1" applyBorder="1" applyAlignment="1">
      <alignment horizontal="center"/>
    </xf>
    <xf numFmtId="42" fontId="3" fillId="14" borderId="63" xfId="0" applyNumberFormat="1" applyFont="1" applyFill="1" applyBorder="1" applyAlignment="1">
      <alignment horizontal="center"/>
    </xf>
    <xf numFmtId="0" fontId="2" fillId="2" borderId="19" xfId="0" applyFont="1" applyFill="1" applyBorder="1" applyAlignment="1">
      <alignment horizontal="center"/>
    </xf>
    <xf numFmtId="0" fontId="0" fillId="0" borderId="46" xfId="0" applyBorder="1" applyAlignment="1">
      <alignment horizontal="right"/>
    </xf>
    <xf numFmtId="0" fontId="0" fillId="0" borderId="45" xfId="0" applyBorder="1" applyAlignment="1">
      <alignment horizontal="right"/>
    </xf>
    <xf numFmtId="0" fontId="3" fillId="2" borderId="8" xfId="0" applyFont="1" applyFill="1" applyBorder="1" applyAlignment="1">
      <alignment horizontal="center"/>
    </xf>
    <xf numFmtId="0" fontId="0" fillId="15" borderId="45" xfId="0" applyFill="1" applyBorder="1" applyAlignment="1">
      <alignment horizontal="right"/>
    </xf>
    <xf numFmtId="0" fontId="0" fillId="15" borderId="47" xfId="0" applyFill="1" applyBorder="1" applyAlignment="1">
      <alignment horizontal="right"/>
    </xf>
    <xf numFmtId="0" fontId="0" fillId="0" borderId="65" xfId="0" applyBorder="1"/>
    <xf numFmtId="0" fontId="0" fillId="0" borderId="75" xfId="0" quotePrefix="1" applyBorder="1" applyAlignment="1">
      <alignment wrapText="1"/>
    </xf>
    <xf numFmtId="0" fontId="11" fillId="22" borderId="60" xfId="0" applyFont="1" applyFill="1" applyBorder="1" applyAlignment="1">
      <alignment horizontal="center"/>
    </xf>
    <xf numFmtId="0" fontId="9" fillId="22" borderId="61" xfId="0" applyFont="1" applyFill="1" applyBorder="1" applyAlignment="1">
      <alignment wrapText="1"/>
    </xf>
    <xf numFmtId="0" fontId="9" fillId="22" borderId="62" xfId="0" applyFont="1" applyFill="1" applyBorder="1"/>
    <xf numFmtId="0" fontId="0" fillId="22" borderId="4" xfId="0" applyFill="1" applyBorder="1" applyAlignment="1">
      <alignment vertical="center" wrapText="1"/>
    </xf>
    <xf numFmtId="0" fontId="0" fillId="22" borderId="5" xfId="0" applyFill="1" applyBorder="1" applyAlignment="1">
      <alignment vertical="top" wrapText="1"/>
    </xf>
    <xf numFmtId="44" fontId="0" fillId="15" borderId="71" xfId="0" applyNumberFormat="1" applyFill="1" applyBorder="1" applyAlignment="1">
      <alignment horizontal="center" vertical="center"/>
    </xf>
    <xf numFmtId="44" fontId="62" fillId="0" borderId="0" xfId="0" applyNumberFormat="1" applyFont="1" applyAlignment="1">
      <alignment vertical="center"/>
    </xf>
    <xf numFmtId="0" fontId="3" fillId="0" borderId="59" xfId="0" applyFont="1" applyBorder="1" applyAlignment="1">
      <alignment horizontal="center" vertical="center" wrapText="1"/>
    </xf>
    <xf numFmtId="0" fontId="0" fillId="0" borderId="25" xfId="0" applyBorder="1" applyAlignment="1">
      <alignment horizontal="left" vertical="center" wrapText="1"/>
    </xf>
    <xf numFmtId="0" fontId="0" fillId="0" borderId="4" xfId="0" applyBorder="1" applyAlignment="1">
      <alignment horizontal="left" vertical="center" wrapText="1"/>
    </xf>
    <xf numFmtId="170" fontId="3" fillId="12" borderId="56" xfId="0" applyNumberFormat="1" applyFont="1" applyFill="1" applyBorder="1" applyAlignment="1">
      <alignment horizontal="center" vertical="center"/>
    </xf>
    <xf numFmtId="170" fontId="3" fillId="12" borderId="54" xfId="0" applyNumberFormat="1" applyFont="1" applyFill="1" applyBorder="1" applyAlignment="1">
      <alignment horizontal="center" vertical="center"/>
    </xf>
    <xf numFmtId="170" fontId="3" fillId="12" borderId="57" xfId="0" applyNumberFormat="1" applyFont="1" applyFill="1" applyBorder="1" applyAlignment="1">
      <alignment horizontal="center" vertical="center"/>
    </xf>
    <xf numFmtId="0" fontId="0" fillId="14" borderId="40" xfId="0" applyFill="1" applyBorder="1"/>
    <xf numFmtId="0" fontId="0" fillId="14" borderId="19" xfId="0" applyFill="1" applyBorder="1"/>
    <xf numFmtId="0" fontId="2" fillId="14" borderId="19" xfId="0" applyFont="1" applyFill="1" applyBorder="1" applyAlignment="1">
      <alignment horizontal="right"/>
    </xf>
    <xf numFmtId="42" fontId="3" fillId="15" borderId="28" xfId="0" applyNumberFormat="1" applyFont="1" applyFill="1" applyBorder="1" applyAlignment="1">
      <alignment horizontal="center"/>
    </xf>
    <xf numFmtId="42" fontId="0" fillId="0" borderId="0" xfId="0" applyNumberFormat="1" applyAlignment="1">
      <alignment horizontal="left"/>
    </xf>
    <xf numFmtId="42" fontId="11" fillId="15" borderId="40" xfId="0" applyNumberFormat="1" applyFont="1" applyFill="1" applyBorder="1" applyAlignment="1">
      <alignment vertical="center"/>
    </xf>
    <xf numFmtId="0" fontId="3" fillId="0" borderId="18" xfId="0" quotePrefix="1" applyFont="1" applyBorder="1" applyAlignment="1">
      <alignment horizontal="center" vertical="center"/>
    </xf>
    <xf numFmtId="42" fontId="41" fillId="3" borderId="28" xfId="0" applyNumberFormat="1" applyFont="1" applyFill="1" applyBorder="1" applyAlignment="1">
      <alignment horizontal="center"/>
    </xf>
    <xf numFmtId="42" fontId="33" fillId="17" borderId="47" xfId="0" applyNumberFormat="1" applyFont="1" applyFill="1" applyBorder="1" applyAlignment="1">
      <alignment horizontal="center" vertical="center"/>
    </xf>
    <xf numFmtId="42" fontId="63" fillId="0" borderId="46" xfId="0" applyNumberFormat="1" applyFont="1" applyBorder="1" applyAlignment="1">
      <alignment horizontal="center" vertical="center"/>
    </xf>
    <xf numFmtId="42" fontId="3" fillId="4" borderId="23" xfId="0" applyNumberFormat="1" applyFont="1" applyFill="1" applyBorder="1" applyAlignment="1">
      <alignment horizontal="center" vertical="center"/>
    </xf>
    <xf numFmtId="42" fontId="3" fillId="7" borderId="48" xfId="0" applyNumberFormat="1" applyFont="1" applyFill="1" applyBorder="1" applyAlignment="1">
      <alignment horizontal="center" vertical="center" wrapText="1"/>
    </xf>
    <xf numFmtId="0" fontId="0" fillId="0" borderId="11" xfId="0" applyBorder="1" applyAlignment="1">
      <alignment horizontal="right" vertical="center"/>
    </xf>
    <xf numFmtId="0" fontId="11" fillId="0" borderId="20" xfId="0" applyFont="1" applyBorder="1" applyAlignment="1">
      <alignment horizontal="right" vertical="center"/>
    </xf>
    <xf numFmtId="0" fontId="3" fillId="0" borderId="39" xfId="0" applyFont="1" applyBorder="1" applyAlignment="1">
      <alignment horizontal="center" vertical="center"/>
    </xf>
    <xf numFmtId="0" fontId="11" fillId="0" borderId="29" xfId="0" quotePrefix="1" applyFont="1" applyBorder="1" applyAlignment="1">
      <alignment vertical="center" wrapText="1"/>
    </xf>
    <xf numFmtId="0" fontId="0" fillId="22" borderId="54" xfId="0" applyFill="1" applyBorder="1" applyAlignment="1">
      <alignment vertical="center"/>
    </xf>
    <xf numFmtId="0" fontId="9" fillId="22" borderId="54" xfId="0" applyFont="1" applyFill="1" applyBorder="1" applyAlignment="1">
      <alignment vertical="center" wrapText="1"/>
    </xf>
    <xf numFmtId="0" fontId="9" fillId="22" borderId="54" xfId="0" quotePrefix="1" applyFont="1" applyFill="1" applyBorder="1" applyAlignment="1">
      <alignment vertical="center" wrapText="1"/>
    </xf>
    <xf numFmtId="0" fontId="9" fillId="0" borderId="54" xfId="0" quotePrefix="1" applyFont="1" applyBorder="1" applyAlignment="1">
      <alignment vertical="center" wrapText="1"/>
    </xf>
    <xf numFmtId="0" fontId="9" fillId="0" borderId="57" xfId="0" applyFont="1" applyBorder="1" applyAlignment="1">
      <alignment vertical="center" wrapText="1"/>
    </xf>
    <xf numFmtId="168" fontId="9" fillId="0" borderId="24" xfId="0" applyNumberFormat="1" applyFont="1" applyBorder="1" applyAlignment="1">
      <alignment horizontal="center" vertical="center"/>
    </xf>
    <xf numFmtId="44" fontId="0" fillId="0" borderId="8" xfId="0" applyNumberFormat="1" applyBorder="1" applyAlignment="1">
      <alignment vertical="center"/>
    </xf>
    <xf numFmtId="0" fontId="3" fillId="0" borderId="47" xfId="0" quotePrefix="1" applyFont="1" applyBorder="1" applyAlignment="1">
      <alignment horizontal="center" vertical="center"/>
    </xf>
    <xf numFmtId="44" fontId="0" fillId="0" borderId="12" xfId="0" applyNumberFormat="1" applyBorder="1" applyAlignment="1">
      <alignment vertical="center" wrapText="1"/>
    </xf>
    <xf numFmtId="0" fontId="3" fillId="0" borderId="19" xfId="0" quotePrefix="1" applyFont="1" applyBorder="1" applyAlignment="1">
      <alignment horizontal="center" vertical="center"/>
    </xf>
    <xf numFmtId="42" fontId="3" fillId="12" borderId="38" xfId="0" applyNumberFormat="1" applyFont="1" applyFill="1" applyBorder="1" applyAlignment="1">
      <alignment horizontal="center" vertical="center"/>
    </xf>
    <xf numFmtId="42" fontId="3" fillId="15" borderId="39" xfId="0" applyNumberFormat="1" applyFont="1" applyFill="1" applyBorder="1" applyAlignment="1">
      <alignment horizontal="center" vertical="center"/>
    </xf>
    <xf numFmtId="44" fontId="0" fillId="0" borderId="61" xfId="0" applyNumberFormat="1" applyBorder="1" applyAlignment="1">
      <alignment vertical="center" wrapText="1"/>
    </xf>
    <xf numFmtId="0" fontId="3" fillId="0" borderId="66" xfId="0" quotePrefix="1" applyFont="1" applyBorder="1" applyAlignment="1">
      <alignment horizontal="center" vertical="center"/>
    </xf>
    <xf numFmtId="42" fontId="3" fillId="12" borderId="23" xfId="0" applyNumberFormat="1" applyFont="1" applyFill="1" applyBorder="1" applyAlignment="1">
      <alignment horizontal="center" vertical="center"/>
    </xf>
    <xf numFmtId="42" fontId="3" fillId="15" borderId="22" xfId="0" applyNumberFormat="1" applyFont="1" applyFill="1" applyBorder="1" applyAlignment="1">
      <alignment horizontal="center" vertical="center"/>
    </xf>
    <xf numFmtId="42" fontId="3" fillId="15" borderId="23" xfId="0" applyNumberFormat="1" applyFont="1" applyFill="1" applyBorder="1" applyAlignment="1">
      <alignment horizontal="center" vertical="center"/>
    </xf>
    <xf numFmtId="0" fontId="9" fillId="0" borderId="45" xfId="0" applyFont="1" applyBorder="1" applyAlignment="1">
      <alignment horizontal="left" vertical="center" wrapText="1"/>
    </xf>
    <xf numFmtId="0" fontId="9" fillId="0" borderId="47" xfId="0" applyFont="1" applyBorder="1" applyAlignment="1">
      <alignment horizontal="left" vertical="center" wrapText="1"/>
    </xf>
    <xf numFmtId="0" fontId="3" fillId="0" borderId="17" xfId="0" applyFont="1" applyBorder="1" applyAlignment="1">
      <alignment horizontal="left" vertical="center" wrapText="1"/>
    </xf>
    <xf numFmtId="0" fontId="3" fillId="15" borderId="46" xfId="0" applyFont="1" applyFill="1" applyBorder="1" applyAlignment="1">
      <alignment horizontal="left" vertical="center" wrapText="1"/>
    </xf>
    <xf numFmtId="0" fontId="3" fillId="0" borderId="27" xfId="0" quotePrefix="1" applyFont="1" applyBorder="1" applyAlignment="1">
      <alignment horizontal="center" vertical="center"/>
    </xf>
    <xf numFmtId="0" fontId="3" fillId="2" borderId="19" xfId="0" applyFont="1" applyFill="1" applyBorder="1" applyAlignment="1">
      <alignment vertical="center"/>
    </xf>
    <xf numFmtId="0" fontId="3" fillId="2" borderId="28" xfId="0" applyFont="1" applyFill="1" applyBorder="1" applyAlignment="1">
      <alignment vertical="center"/>
    </xf>
    <xf numFmtId="42" fontId="2" fillId="3" borderId="28" xfId="0" applyNumberFormat="1" applyFont="1" applyFill="1" applyBorder="1" applyAlignment="1">
      <alignment horizontal="center" vertical="center"/>
    </xf>
    <xf numFmtId="44" fontId="0" fillId="15" borderId="3" xfId="0" applyNumberFormat="1" applyFill="1" applyBorder="1" applyAlignment="1">
      <alignment horizontal="center" vertical="center"/>
    </xf>
    <xf numFmtId="0" fontId="0" fillId="0" borderId="11" xfId="0" applyBorder="1" applyAlignment="1">
      <alignment horizontal="left" vertical="center"/>
    </xf>
    <xf numFmtId="0" fontId="0" fillId="0" borderId="20" xfId="0" applyBorder="1" applyAlignment="1">
      <alignment horizontal="left" vertical="center"/>
    </xf>
    <xf numFmtId="0" fontId="0" fillId="0" borderId="64" xfId="0" applyBorder="1" applyAlignment="1">
      <alignment horizontal="left" vertical="center"/>
    </xf>
    <xf numFmtId="0" fontId="0" fillId="15" borderId="1" xfId="0" applyFill="1" applyBorder="1" applyAlignment="1">
      <alignment vertical="center" wrapText="1"/>
    </xf>
    <xf numFmtId="44" fontId="0" fillId="0" borderId="11" xfId="0" applyNumberFormat="1" applyBorder="1" applyAlignment="1">
      <alignment vertical="center" wrapText="1"/>
    </xf>
    <xf numFmtId="0" fontId="0" fillId="0" borderId="21" xfId="0" applyBorder="1" applyAlignment="1">
      <alignment horizontal="left" vertical="center" wrapText="1"/>
    </xf>
    <xf numFmtId="0" fontId="0" fillId="22" borderId="6" xfId="0" applyFill="1" applyBorder="1" applyAlignment="1">
      <alignment vertical="center" wrapText="1"/>
    </xf>
    <xf numFmtId="0" fontId="0" fillId="22" borderId="1" xfId="0" quotePrefix="1" applyFill="1" applyBorder="1" applyAlignment="1">
      <alignment vertical="center" wrapText="1"/>
    </xf>
    <xf numFmtId="42" fontId="3" fillId="7" borderId="3" xfId="0" applyNumberFormat="1" applyFont="1" applyFill="1" applyBorder="1" applyAlignment="1">
      <alignment horizontal="center" vertical="center" wrapText="1"/>
    </xf>
    <xf numFmtId="42" fontId="3" fillId="16" borderId="23" xfId="0" applyNumberFormat="1" applyFont="1" applyFill="1" applyBorder="1" applyAlignment="1">
      <alignment horizontal="center" vertical="center"/>
    </xf>
    <xf numFmtId="0" fontId="3" fillId="12" borderId="28" xfId="0" applyFont="1" applyFill="1" applyBorder="1" applyAlignment="1">
      <alignment horizontal="center" vertical="center"/>
    </xf>
    <xf numFmtId="0" fontId="9" fillId="0" borderId="51" xfId="0" applyFont="1" applyBorder="1" applyAlignment="1">
      <alignment vertical="center" wrapText="1"/>
    </xf>
    <xf numFmtId="0" fontId="9" fillId="4" borderId="48" xfId="0" applyFont="1" applyFill="1" applyBorder="1" applyAlignment="1">
      <alignment horizontal="left" vertical="center" wrapText="1"/>
    </xf>
    <xf numFmtId="0" fontId="3" fillId="4" borderId="36" xfId="0" applyFont="1" applyFill="1" applyBorder="1" applyAlignment="1">
      <alignment horizontal="center" vertical="center"/>
    </xf>
    <xf numFmtId="0" fontId="0" fillId="0" borderId="22" xfId="0" applyBorder="1" applyAlignment="1">
      <alignment vertical="center" wrapText="1"/>
    </xf>
    <xf numFmtId="0" fontId="3" fillId="14" borderId="22" xfId="0" applyFont="1" applyFill="1" applyBorder="1" applyAlignment="1">
      <alignment horizontal="center" vertical="center" wrapText="1"/>
    </xf>
    <xf numFmtId="0" fontId="0" fillId="0" borderId="1" xfId="0" applyBorder="1" applyAlignment="1">
      <alignment vertical="center"/>
    </xf>
    <xf numFmtId="42" fontId="33" fillId="17" borderId="9" xfId="0" applyNumberFormat="1" applyFont="1" applyFill="1" applyBorder="1" applyAlignment="1">
      <alignment horizontal="center" vertical="center"/>
    </xf>
    <xf numFmtId="0" fontId="3" fillId="6" borderId="66" xfId="0" quotePrefix="1" applyFont="1" applyFill="1" applyBorder="1" applyAlignment="1">
      <alignment horizontal="center" vertical="center"/>
    </xf>
    <xf numFmtId="0" fontId="2" fillId="4" borderId="4" xfId="0" applyFont="1" applyFill="1" applyBorder="1" applyAlignment="1">
      <alignment horizontal="right" vertical="center" wrapText="1"/>
    </xf>
    <xf numFmtId="0" fontId="3" fillId="0" borderId="59" xfId="0" applyFont="1" applyBorder="1" applyAlignment="1">
      <alignment horizontal="center" vertical="center"/>
    </xf>
    <xf numFmtId="42" fontId="3" fillId="15" borderId="24" xfId="0" applyNumberFormat="1" applyFont="1" applyFill="1" applyBorder="1" applyAlignment="1">
      <alignment horizontal="center" vertical="center"/>
    </xf>
    <xf numFmtId="0" fontId="0" fillId="15" borderId="11" xfId="0" applyFill="1" applyBorder="1" applyAlignment="1">
      <alignment vertical="center" wrapText="1"/>
    </xf>
    <xf numFmtId="0" fontId="38" fillId="2" borderId="19" xfId="0" applyFont="1" applyFill="1" applyBorder="1" applyAlignment="1">
      <alignment horizontal="left" vertical="center" wrapText="1"/>
    </xf>
    <xf numFmtId="0" fontId="23" fillId="20" borderId="19" xfId="0" applyFont="1" applyFill="1" applyBorder="1" applyAlignment="1">
      <alignment horizontal="left" vertical="center" wrapText="1"/>
    </xf>
    <xf numFmtId="0" fontId="19" fillId="6" borderId="22" xfId="0" applyFont="1" applyFill="1" applyBorder="1" applyAlignment="1">
      <alignment horizontal="left" vertical="center" wrapText="1"/>
    </xf>
    <xf numFmtId="0" fontId="9" fillId="0" borderId="56" xfId="0" applyFont="1" applyBorder="1" applyAlignment="1">
      <alignment vertical="center" wrapText="1"/>
    </xf>
    <xf numFmtId="0" fontId="9" fillId="0" borderId="54" xfId="0" applyFont="1" applyBorder="1" applyAlignment="1">
      <alignment horizontal="left" vertical="center" wrapText="1"/>
    </xf>
    <xf numFmtId="0" fontId="9" fillId="0" borderId="55" xfId="0" applyFont="1" applyBorder="1" applyAlignment="1">
      <alignment horizontal="left" vertical="center" wrapText="1"/>
    </xf>
    <xf numFmtId="0" fontId="9" fillId="0" borderId="56" xfId="0" applyFont="1" applyBorder="1" applyAlignment="1">
      <alignment horizontal="left" vertical="center" wrapText="1"/>
    </xf>
    <xf numFmtId="0" fontId="9" fillId="0" borderId="57" xfId="0" applyFont="1" applyBorder="1" applyAlignment="1">
      <alignment horizontal="left" vertical="center" wrapText="1"/>
    </xf>
    <xf numFmtId="0" fontId="11" fillId="14" borderId="19" xfId="0" applyFont="1" applyFill="1" applyBorder="1" applyAlignment="1">
      <alignment horizontal="center" vertical="center" wrapText="1"/>
    </xf>
    <xf numFmtId="0" fontId="9" fillId="0" borderId="45" xfId="0" applyFont="1" applyBorder="1" applyAlignment="1">
      <alignment horizontal="center" vertical="center" wrapText="1"/>
    </xf>
    <xf numFmtId="0" fontId="9" fillId="0" borderId="76" xfId="0" applyFont="1" applyBorder="1" applyAlignment="1">
      <alignment horizontal="center" vertical="center" wrapText="1"/>
    </xf>
    <xf numFmtId="0" fontId="9" fillId="0" borderId="46" xfId="0" applyFont="1" applyBorder="1" applyAlignment="1">
      <alignment horizontal="center" vertical="center" wrapText="1"/>
    </xf>
    <xf numFmtId="0" fontId="9" fillId="0" borderId="47"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52" xfId="0" applyFont="1" applyBorder="1" applyAlignment="1">
      <alignment horizontal="center" vertical="center" wrapText="1"/>
    </xf>
    <xf numFmtId="0" fontId="23" fillId="6" borderId="19" xfId="0" applyFont="1" applyFill="1" applyBorder="1" applyAlignment="1">
      <alignment horizontal="left" vertical="center" wrapText="1"/>
    </xf>
    <xf numFmtId="0" fontId="9" fillId="0" borderId="46" xfId="0" applyFont="1" applyBorder="1" applyAlignment="1">
      <alignment horizontal="left" vertical="center" wrapText="1"/>
    </xf>
    <xf numFmtId="0" fontId="9" fillId="0" borderId="76" xfId="0" applyFont="1" applyBorder="1" applyAlignment="1">
      <alignment horizontal="left" vertical="center" wrapText="1"/>
    </xf>
    <xf numFmtId="0" fontId="0" fillId="14" borderId="19" xfId="0" applyFill="1" applyBorder="1" applyAlignment="1">
      <alignment horizontal="left" vertical="center" wrapText="1"/>
    </xf>
    <xf numFmtId="0" fontId="9" fillId="0" borderId="52" xfId="0" applyFont="1" applyBorder="1" applyAlignment="1">
      <alignment horizontal="left" vertical="center" wrapText="1"/>
    </xf>
    <xf numFmtId="0" fontId="19" fillId="6" borderId="0" xfId="0" applyFont="1" applyFill="1" applyAlignment="1">
      <alignment horizontal="left" vertical="center" wrapText="1"/>
    </xf>
    <xf numFmtId="0" fontId="62" fillId="0" borderId="45" xfId="0" quotePrefix="1" applyFont="1" applyBorder="1" applyAlignment="1">
      <alignment horizontal="left" vertical="center" wrapText="1"/>
    </xf>
    <xf numFmtId="0" fontId="62" fillId="0" borderId="47" xfId="0" quotePrefix="1" applyFont="1" applyBorder="1" applyAlignment="1">
      <alignment horizontal="left" vertical="center" wrapText="1"/>
    </xf>
    <xf numFmtId="0" fontId="11" fillId="0" borderId="0" xfId="0" applyFont="1" applyAlignment="1">
      <alignment horizontal="left" vertical="center" wrapText="1"/>
    </xf>
    <xf numFmtId="0" fontId="19" fillId="6" borderId="19" xfId="0" applyFont="1" applyFill="1" applyBorder="1" applyAlignment="1">
      <alignment horizontal="left" vertical="center" wrapText="1"/>
    </xf>
    <xf numFmtId="0" fontId="62" fillId="0" borderId="46" xfId="0" quotePrefix="1" applyFont="1" applyBorder="1" applyAlignment="1">
      <alignment horizontal="left" vertical="center" wrapText="1"/>
    </xf>
    <xf numFmtId="0" fontId="11" fillId="14" borderId="0" xfId="0" applyFont="1" applyFill="1" applyAlignment="1">
      <alignment horizontal="center" vertical="center" wrapText="1"/>
    </xf>
    <xf numFmtId="0" fontId="9" fillId="0" borderId="71" xfId="0" applyFont="1" applyBorder="1" applyAlignment="1">
      <alignment horizontal="left" vertical="center" wrapText="1"/>
    </xf>
    <xf numFmtId="0" fontId="9" fillId="0" borderId="22" xfId="0" applyFont="1" applyBorder="1" applyAlignment="1">
      <alignment horizontal="left" vertical="center" wrapText="1"/>
    </xf>
    <xf numFmtId="0" fontId="11" fillId="6" borderId="19" xfId="0" applyFont="1" applyFill="1" applyBorder="1" applyAlignment="1">
      <alignment horizontal="left" vertical="center" wrapText="1"/>
    </xf>
    <xf numFmtId="0" fontId="62" fillId="0" borderId="76" xfId="0" quotePrefix="1" applyFont="1" applyBorder="1" applyAlignment="1">
      <alignment horizontal="left" vertical="center" wrapText="1"/>
    </xf>
    <xf numFmtId="0" fontId="0" fillId="0" borderId="71" xfId="0" applyBorder="1" applyAlignment="1">
      <alignment horizontal="left" vertical="center"/>
    </xf>
    <xf numFmtId="0" fontId="0" fillId="0" borderId="76" xfId="0" applyBorder="1" applyAlignment="1">
      <alignment horizontal="left" vertical="center"/>
    </xf>
    <xf numFmtId="0" fontId="19" fillId="14" borderId="22" xfId="0" applyFont="1" applyFill="1" applyBorder="1" applyAlignment="1">
      <alignment horizontal="center" vertical="center" wrapText="1"/>
    </xf>
    <xf numFmtId="0" fontId="19" fillId="3" borderId="52" xfId="0" applyFont="1" applyFill="1" applyBorder="1" applyAlignment="1">
      <alignment horizontal="left" vertical="center" wrapText="1"/>
    </xf>
    <xf numFmtId="0" fontId="19" fillId="14" borderId="19" xfId="0" applyFont="1" applyFill="1" applyBorder="1" applyAlignment="1">
      <alignment horizontal="center" vertical="center" wrapText="1"/>
    </xf>
    <xf numFmtId="0" fontId="26" fillId="0" borderId="71" xfId="0" applyFont="1" applyBorder="1" applyAlignment="1">
      <alignment horizontal="left" vertical="center" wrapText="1"/>
    </xf>
    <xf numFmtId="0" fontId="9" fillId="0" borderId="46" xfId="0" quotePrefix="1" applyFont="1" applyBorder="1" applyAlignment="1">
      <alignment horizontal="left" vertical="center" wrapText="1"/>
    </xf>
    <xf numFmtId="0" fontId="9" fillId="0" borderId="19" xfId="0" applyFont="1" applyBorder="1" applyAlignment="1">
      <alignment horizontal="left" vertical="center" wrapText="1"/>
    </xf>
    <xf numFmtId="0" fontId="11" fillId="0" borderId="0" xfId="0" applyFont="1" applyAlignment="1">
      <alignment horizontal="center" vertical="center" wrapText="1"/>
    </xf>
    <xf numFmtId="0" fontId="11" fillId="3" borderId="19" xfId="0" applyFont="1" applyFill="1" applyBorder="1" applyAlignment="1">
      <alignment horizontal="center" vertical="center" wrapText="1"/>
    </xf>
    <xf numFmtId="0" fontId="9" fillId="0" borderId="48" xfId="0" applyFont="1" applyBorder="1" applyAlignment="1">
      <alignment horizontal="left" vertical="center" wrapText="1"/>
    </xf>
    <xf numFmtId="0" fontId="9" fillId="14" borderId="48" xfId="0" applyFont="1" applyFill="1" applyBorder="1" applyAlignment="1">
      <alignment horizontal="left" vertical="center" wrapText="1"/>
    </xf>
    <xf numFmtId="0" fontId="11" fillId="0" borderId="53" xfId="0" applyFont="1" applyBorder="1" applyAlignment="1">
      <alignment horizontal="center" vertical="center" wrapText="1"/>
    </xf>
    <xf numFmtId="0" fontId="62" fillId="0" borderId="54" xfId="0" applyFont="1" applyBorder="1" applyAlignment="1">
      <alignment horizontal="left" vertical="center" wrapText="1"/>
    </xf>
    <xf numFmtId="0" fontId="11" fillId="16" borderId="22" xfId="0" applyFont="1" applyFill="1" applyBorder="1" applyAlignment="1">
      <alignment horizontal="center" vertical="center" wrapText="1"/>
    </xf>
    <xf numFmtId="0" fontId="9" fillId="0" borderId="76" xfId="0" quotePrefix="1" applyFont="1" applyBorder="1" applyAlignment="1">
      <alignment horizontal="left" vertical="center" wrapText="1"/>
    </xf>
    <xf numFmtId="0" fontId="9" fillId="0" borderId="47" xfId="0" quotePrefix="1" applyFont="1" applyBorder="1" applyAlignment="1">
      <alignment horizontal="left" vertical="center" wrapText="1"/>
    </xf>
    <xf numFmtId="0" fontId="9" fillId="0" borderId="71" xfId="0" applyFont="1" applyBorder="1" applyAlignment="1">
      <alignment vertical="center" wrapText="1"/>
    </xf>
    <xf numFmtId="0" fontId="9" fillId="14" borderId="19" xfId="0" applyFont="1" applyFill="1" applyBorder="1" applyAlignment="1">
      <alignment horizontal="center" vertical="center" wrapText="1"/>
    </xf>
    <xf numFmtId="0" fontId="9" fillId="0" borderId="71" xfId="0" applyFont="1" applyBorder="1" applyAlignment="1">
      <alignment horizontal="center" vertical="center" wrapText="1"/>
    </xf>
    <xf numFmtId="0" fontId="11" fillId="0" borderId="19" xfId="0" applyFont="1" applyBorder="1" applyAlignment="1">
      <alignment horizontal="left" vertical="center" wrapText="1"/>
    </xf>
    <xf numFmtId="0" fontId="11" fillId="0" borderId="71" xfId="0" applyFont="1" applyBorder="1" applyAlignment="1">
      <alignment horizontal="left" vertical="center" wrapText="1"/>
    </xf>
    <xf numFmtId="0" fontId="11" fillId="0" borderId="46" xfId="0" applyFont="1" applyBorder="1" applyAlignment="1">
      <alignment horizontal="left" vertical="center" wrapText="1"/>
    </xf>
    <xf numFmtId="0" fontId="11" fillId="0" borderId="47" xfId="0" applyFont="1" applyBorder="1" applyAlignment="1">
      <alignment horizontal="left" vertical="center" wrapText="1"/>
    </xf>
    <xf numFmtId="0" fontId="9" fillId="20" borderId="3" xfId="0" applyFont="1" applyFill="1" applyBorder="1" applyAlignment="1">
      <alignment horizontal="center" vertical="center"/>
    </xf>
    <xf numFmtId="0" fontId="9" fillId="0" borderId="15" xfId="0" applyFont="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14" borderId="3" xfId="0" applyFont="1" applyFill="1" applyBorder="1" applyAlignment="1">
      <alignment horizontal="center" vertical="center"/>
    </xf>
    <xf numFmtId="0" fontId="3" fillId="4" borderId="66" xfId="0" quotePrefix="1" applyFont="1" applyFill="1" applyBorder="1" applyAlignment="1">
      <alignment horizontal="center" vertical="center"/>
    </xf>
    <xf numFmtId="42" fontId="3" fillId="22" borderId="52" xfId="0" applyNumberFormat="1" applyFont="1" applyFill="1" applyBorder="1" applyAlignment="1">
      <alignment horizontal="center" vertical="center"/>
    </xf>
    <xf numFmtId="0" fontId="9" fillId="0" borderId="71" xfId="0" quotePrefix="1" applyFont="1" applyBorder="1" applyAlignment="1">
      <alignment horizontal="left" vertical="center" wrapText="1"/>
    </xf>
    <xf numFmtId="0" fontId="9" fillId="0" borderId="45" xfId="0" quotePrefix="1" applyFont="1" applyBorder="1" applyAlignment="1">
      <alignment horizontal="left" vertical="center" wrapText="1"/>
    </xf>
    <xf numFmtId="0" fontId="3" fillId="14" borderId="78" xfId="0" applyFont="1" applyFill="1" applyBorder="1" applyAlignment="1">
      <alignment horizontal="center" vertical="center"/>
    </xf>
    <xf numFmtId="42" fontId="3" fillId="14" borderId="24" xfId="0" applyNumberFormat="1" applyFont="1" applyFill="1" applyBorder="1" applyAlignment="1">
      <alignment horizontal="center" vertical="center"/>
    </xf>
    <xf numFmtId="0" fontId="10" fillId="0" borderId="34" xfId="0" applyFont="1" applyBorder="1" applyAlignment="1">
      <alignment horizontal="center" vertical="center"/>
    </xf>
    <xf numFmtId="0" fontId="61" fillId="0" borderId="34" xfId="0" applyFont="1" applyBorder="1" applyAlignment="1">
      <alignment horizontal="center" vertical="center"/>
    </xf>
    <xf numFmtId="0" fontId="3" fillId="14" borderId="66" xfId="0" applyFont="1" applyFill="1" applyBorder="1" applyAlignment="1">
      <alignment horizontal="center" vertical="center"/>
    </xf>
    <xf numFmtId="42" fontId="11" fillId="14" borderId="23" xfId="0" applyNumberFormat="1" applyFont="1" applyFill="1" applyBorder="1" applyAlignment="1">
      <alignment horizontal="center" vertical="center"/>
    </xf>
    <xf numFmtId="0" fontId="61" fillId="0" borderId="13" xfId="0" quotePrefix="1" applyFont="1" applyBorder="1" applyAlignment="1">
      <alignment horizontal="center" vertical="center"/>
    </xf>
    <xf numFmtId="0" fontId="5" fillId="0" borderId="9" xfId="0" applyFont="1" applyBorder="1" applyAlignment="1">
      <alignment horizontal="left" vertical="center" wrapText="1"/>
    </xf>
    <xf numFmtId="42" fontId="3" fillId="15" borderId="55" xfId="0" applyNumberFormat="1" applyFont="1" applyFill="1" applyBorder="1" applyAlignment="1">
      <alignment horizontal="center" vertical="center"/>
    </xf>
    <xf numFmtId="0" fontId="9" fillId="0" borderId="37" xfId="0" applyFont="1" applyBorder="1" applyAlignment="1">
      <alignment horizontal="left" vertical="center" wrapText="1"/>
    </xf>
    <xf numFmtId="0" fontId="62" fillId="0" borderId="1" xfId="0" applyFont="1" applyBorder="1" applyAlignment="1">
      <alignment vertical="center"/>
    </xf>
    <xf numFmtId="42" fontId="3" fillId="0" borderId="19" xfId="0" applyNumberFormat="1" applyFont="1" applyBorder="1" applyAlignment="1">
      <alignment horizontal="center" vertical="center"/>
    </xf>
    <xf numFmtId="0" fontId="9" fillId="7" borderId="19" xfId="0" applyFont="1" applyFill="1" applyBorder="1" applyAlignment="1">
      <alignment horizontal="left" vertical="center" wrapText="1"/>
    </xf>
    <xf numFmtId="0" fontId="0" fillId="0" borderId="75" xfId="0" quotePrefix="1" applyBorder="1" applyAlignment="1">
      <alignment horizontal="center" vertical="center" wrapText="1"/>
    </xf>
    <xf numFmtId="0" fontId="0" fillId="0" borderId="71" xfId="0" quotePrefix="1" applyBorder="1" applyAlignment="1">
      <alignment horizontal="center" vertical="center" wrapText="1"/>
    </xf>
    <xf numFmtId="42" fontId="3" fillId="17" borderId="15" xfId="0" applyNumberFormat="1" applyFont="1" applyFill="1" applyBorder="1" applyAlignment="1">
      <alignment horizontal="center" vertical="center"/>
    </xf>
    <xf numFmtId="0" fontId="9" fillId="0" borderId="49" xfId="0" applyFont="1" applyBorder="1" applyAlignment="1">
      <alignment horizontal="left" vertical="center" wrapText="1"/>
    </xf>
    <xf numFmtId="42" fontId="3" fillId="14" borderId="49" xfId="0" applyNumberFormat="1" applyFont="1" applyFill="1" applyBorder="1" applyAlignment="1">
      <alignment horizontal="center" vertical="center"/>
    </xf>
    <xf numFmtId="42" fontId="3" fillId="14" borderId="50" xfId="0" applyNumberFormat="1" applyFont="1" applyFill="1" applyBorder="1" applyAlignment="1">
      <alignment horizontal="center" vertical="center"/>
    </xf>
    <xf numFmtId="0" fontId="9" fillId="14" borderId="22" xfId="0" applyFont="1" applyFill="1" applyBorder="1" applyAlignment="1">
      <alignment horizontal="left" vertical="center" wrapText="1"/>
    </xf>
    <xf numFmtId="0" fontId="3" fillId="0" borderId="20" xfId="0" quotePrefix="1" applyFont="1" applyBorder="1" applyAlignment="1">
      <alignment horizontal="center" vertical="center"/>
    </xf>
    <xf numFmtId="42" fontId="3" fillId="15" borderId="57" xfId="0" applyNumberFormat="1" applyFont="1" applyFill="1" applyBorder="1" applyAlignment="1">
      <alignment horizontal="center" vertical="center"/>
    </xf>
    <xf numFmtId="0" fontId="9" fillId="0" borderId="39" xfId="0" applyFont="1" applyBorder="1" applyAlignment="1">
      <alignment horizontal="left" vertical="center" wrapText="1"/>
    </xf>
    <xf numFmtId="0" fontId="3" fillId="14" borderId="60" xfId="0" applyFont="1" applyFill="1" applyBorder="1" applyAlignment="1">
      <alignment horizontal="center" vertical="center"/>
    </xf>
    <xf numFmtId="42" fontId="3" fillId="15" borderId="20" xfId="0" applyNumberFormat="1" applyFont="1" applyFill="1" applyBorder="1" applyAlignment="1">
      <alignment horizontal="center" vertical="center"/>
    </xf>
    <xf numFmtId="0" fontId="3" fillId="7" borderId="77" xfId="0" applyFont="1" applyFill="1" applyBorder="1" applyAlignment="1">
      <alignment horizontal="center" vertical="center"/>
    </xf>
    <xf numFmtId="0" fontId="3" fillId="7" borderId="61" xfId="0" quotePrefix="1" applyFont="1" applyFill="1" applyBorder="1" applyAlignment="1">
      <alignment horizontal="right" vertical="center"/>
    </xf>
    <xf numFmtId="0" fontId="3" fillId="7" borderId="66" xfId="0" applyFont="1" applyFill="1" applyBorder="1" applyAlignment="1">
      <alignment horizontal="center" vertical="center"/>
    </xf>
    <xf numFmtId="42" fontId="11" fillId="7" borderId="23" xfId="0" applyNumberFormat="1" applyFont="1" applyFill="1" applyBorder="1" applyAlignment="1">
      <alignment horizontal="center" vertical="center"/>
    </xf>
    <xf numFmtId="42" fontId="3" fillId="7" borderId="22" xfId="0" applyNumberFormat="1" applyFont="1" applyFill="1" applyBorder="1" applyAlignment="1">
      <alignment horizontal="center" vertical="center"/>
    </xf>
    <xf numFmtId="42" fontId="3" fillId="7" borderId="23" xfId="0" applyNumberFormat="1" applyFont="1" applyFill="1" applyBorder="1" applyAlignment="1">
      <alignment horizontal="center" vertical="center"/>
    </xf>
    <xf numFmtId="0" fontId="9" fillId="7" borderId="22" xfId="0" quotePrefix="1" applyFont="1" applyFill="1" applyBorder="1" applyAlignment="1">
      <alignment horizontal="left" vertical="center"/>
    </xf>
    <xf numFmtId="0" fontId="3" fillId="20" borderId="78" xfId="0" applyFont="1" applyFill="1" applyBorder="1" applyAlignment="1">
      <alignment horizontal="center" vertical="center"/>
    </xf>
    <xf numFmtId="0" fontId="3" fillId="20" borderId="67" xfId="0" applyFont="1" applyFill="1" applyBorder="1" applyAlignment="1">
      <alignment horizontal="center" vertical="center"/>
    </xf>
    <xf numFmtId="42" fontId="3" fillId="20" borderId="24" xfId="0" applyNumberFormat="1" applyFont="1" applyFill="1" applyBorder="1" applyAlignment="1">
      <alignment horizontal="center" vertical="center"/>
    </xf>
    <xf numFmtId="42" fontId="3" fillId="20" borderId="52" xfId="0" applyNumberFormat="1" applyFont="1" applyFill="1" applyBorder="1" applyAlignment="1">
      <alignment horizontal="center" vertical="center"/>
    </xf>
    <xf numFmtId="0" fontId="3" fillId="0" borderId="48" xfId="0" applyFont="1" applyBorder="1" applyAlignment="1">
      <alignment horizontal="center" vertical="center"/>
    </xf>
    <xf numFmtId="0" fontId="3" fillId="0" borderId="19" xfId="0" applyFont="1" applyBorder="1" applyAlignment="1">
      <alignment horizontal="center" vertical="center"/>
    </xf>
    <xf numFmtId="0" fontId="27" fillId="14" borderId="61" xfId="0" applyFont="1" applyFill="1" applyBorder="1" applyAlignment="1">
      <alignment horizontal="right" vertical="center" wrapText="1"/>
    </xf>
    <xf numFmtId="42" fontId="11" fillId="14" borderId="22" xfId="0" applyNumberFormat="1" applyFont="1" applyFill="1" applyBorder="1" applyAlignment="1">
      <alignment horizontal="center" vertical="center"/>
    </xf>
    <xf numFmtId="0" fontId="11" fillId="14" borderId="22" xfId="0" applyFont="1" applyFill="1" applyBorder="1" applyAlignment="1">
      <alignment horizontal="center" vertical="center" wrapText="1"/>
    </xf>
    <xf numFmtId="0" fontId="9" fillId="15" borderId="17" xfId="0" applyFont="1" applyFill="1" applyBorder="1" applyAlignment="1">
      <alignment horizontal="left" vertical="center" wrapText="1"/>
    </xf>
    <xf numFmtId="0" fontId="3" fillId="0" borderId="49" xfId="0" applyFont="1" applyBorder="1" applyAlignment="1">
      <alignment horizontal="center" vertical="center"/>
    </xf>
    <xf numFmtId="0" fontId="3" fillId="0" borderId="22" xfId="0" applyFont="1" applyBorder="1" applyAlignment="1">
      <alignment horizontal="center" vertical="center"/>
    </xf>
    <xf numFmtId="42" fontId="3" fillId="0" borderId="22" xfId="0" applyNumberFormat="1" applyFont="1" applyBorder="1" applyAlignment="1">
      <alignment horizontal="center" vertical="center"/>
    </xf>
    <xf numFmtId="0" fontId="3" fillId="0" borderId="51" xfId="0" applyFont="1" applyBorder="1" applyAlignment="1">
      <alignment horizontal="center" vertical="center"/>
    </xf>
    <xf numFmtId="0" fontId="27" fillId="0" borderId="52" xfId="0" applyFont="1" applyBorder="1" applyAlignment="1">
      <alignment horizontal="left" vertical="center" wrapText="1"/>
    </xf>
    <xf numFmtId="0" fontId="3" fillId="0" borderId="52" xfId="0" applyFont="1" applyBorder="1" applyAlignment="1">
      <alignment horizontal="center" vertical="center"/>
    </xf>
    <xf numFmtId="42" fontId="3" fillId="0" borderId="52" xfId="0" applyNumberFormat="1" applyFont="1" applyBorder="1" applyAlignment="1">
      <alignment horizontal="center" vertical="center"/>
    </xf>
    <xf numFmtId="0" fontId="0" fillId="0" borderId="61" xfId="0" applyBorder="1" applyAlignment="1">
      <alignment horizontal="right" vertical="center" wrapText="1"/>
    </xf>
    <xf numFmtId="0" fontId="9" fillId="0" borderId="22" xfId="0" applyFont="1" applyBorder="1" applyAlignment="1">
      <alignment horizontal="center" vertical="center" wrapText="1"/>
    </xf>
    <xf numFmtId="0" fontId="40" fillId="6" borderId="78" xfId="0" applyFont="1" applyFill="1" applyBorder="1" applyAlignment="1">
      <alignment horizontal="center" vertical="center"/>
    </xf>
    <xf numFmtId="0" fontId="23" fillId="6" borderId="25" xfId="0" applyFont="1" applyFill="1" applyBorder="1" applyAlignment="1">
      <alignment vertical="center" wrapText="1"/>
    </xf>
    <xf numFmtId="0" fontId="40" fillId="6" borderId="67" xfId="0" applyFont="1" applyFill="1" applyBorder="1" applyAlignment="1">
      <alignment horizontal="center" vertical="center"/>
    </xf>
    <xf numFmtId="42" fontId="40" fillId="6" borderId="24" xfId="0" applyNumberFormat="1" applyFont="1" applyFill="1" applyBorder="1" applyAlignment="1">
      <alignment horizontal="center" vertical="center"/>
    </xf>
    <xf numFmtId="42" fontId="30" fillId="6" borderId="52" xfId="0" applyNumberFormat="1" applyFont="1" applyFill="1" applyBorder="1" applyAlignment="1">
      <alignment horizontal="center" vertical="center"/>
    </xf>
    <xf numFmtId="42" fontId="30" fillId="6" borderId="24" xfId="0" applyNumberFormat="1" applyFont="1" applyFill="1" applyBorder="1" applyAlignment="1">
      <alignment horizontal="center" vertical="center"/>
    </xf>
    <xf numFmtId="0" fontId="23" fillId="6" borderId="52" xfId="0" applyFont="1" applyFill="1" applyBorder="1" applyAlignment="1">
      <alignment horizontal="left" vertical="center" wrapText="1"/>
    </xf>
    <xf numFmtId="0" fontId="0" fillId="0" borderId="19" xfId="0" applyBorder="1" applyAlignment="1">
      <alignment horizontal="right" vertical="center" wrapText="1"/>
    </xf>
    <xf numFmtId="164" fontId="3" fillId="14" borderId="66" xfId="0" applyNumberFormat="1" applyFont="1" applyFill="1" applyBorder="1" applyAlignment="1">
      <alignment horizontal="center" vertical="center"/>
    </xf>
    <xf numFmtId="0" fontId="3" fillId="0" borderId="22" xfId="0" quotePrefix="1" applyFont="1" applyBorder="1" applyAlignment="1">
      <alignment horizontal="center" vertical="center"/>
    </xf>
    <xf numFmtId="0" fontId="3" fillId="0" borderId="52" xfId="0" quotePrefix="1" applyFont="1" applyBorder="1" applyAlignment="1">
      <alignment horizontal="center" vertical="center"/>
    </xf>
    <xf numFmtId="42" fontId="33" fillId="17" borderId="71" xfId="0" applyNumberFormat="1" applyFont="1" applyFill="1" applyBorder="1" applyAlignment="1">
      <alignment horizontal="center" vertical="center"/>
    </xf>
    <xf numFmtId="0" fontId="2" fillId="0" borderId="41" xfId="0" applyFont="1" applyBorder="1" applyAlignment="1">
      <alignment vertical="center" wrapText="1"/>
    </xf>
    <xf numFmtId="0" fontId="3" fillId="0" borderId="15" xfId="0" quotePrefix="1" applyFont="1" applyBorder="1" applyAlignment="1">
      <alignment horizontal="center" vertical="center"/>
    </xf>
    <xf numFmtId="0" fontId="27" fillId="0" borderId="52" xfId="0" applyFont="1" applyBorder="1" applyAlignment="1">
      <alignment vertical="center" wrapText="1"/>
    </xf>
    <xf numFmtId="0" fontId="3" fillId="4" borderId="16" xfId="0" applyFont="1" applyFill="1" applyBorder="1" applyAlignment="1">
      <alignment horizontal="center" vertical="center"/>
    </xf>
    <xf numFmtId="42" fontId="11" fillId="15" borderId="71" xfId="0" applyNumberFormat="1" applyFont="1" applyFill="1" applyBorder="1" applyAlignment="1">
      <alignment horizontal="center" vertical="center"/>
    </xf>
    <xf numFmtId="0" fontId="3" fillId="6" borderId="78" xfId="0" applyFont="1" applyFill="1" applyBorder="1" applyAlignment="1">
      <alignment horizontal="center" vertical="center"/>
    </xf>
    <xf numFmtId="0" fontId="3" fillId="6" borderId="67" xfId="0" applyFont="1" applyFill="1" applyBorder="1" applyAlignment="1">
      <alignment horizontal="center" vertical="center"/>
    </xf>
    <xf numFmtId="42" fontId="11" fillId="6" borderId="24" xfId="0" applyNumberFormat="1" applyFont="1" applyFill="1" applyBorder="1" applyAlignment="1">
      <alignment horizontal="center" vertical="center"/>
    </xf>
    <xf numFmtId="0" fontId="11" fillId="6" borderId="29" xfId="0" applyFont="1" applyFill="1" applyBorder="1" applyAlignment="1">
      <alignment horizontal="left" vertical="center" wrapText="1"/>
    </xf>
    <xf numFmtId="0" fontId="11" fillId="6" borderId="52" xfId="0" applyFont="1" applyFill="1" applyBorder="1" applyAlignment="1">
      <alignment horizontal="left" vertical="center" wrapText="1"/>
    </xf>
    <xf numFmtId="0" fontId="3" fillId="14" borderId="61" xfId="0" applyFont="1" applyFill="1" applyBorder="1" applyAlignment="1">
      <alignment horizontal="right" vertical="center" wrapText="1"/>
    </xf>
    <xf numFmtId="0" fontId="9" fillId="0" borderId="19" xfId="0" applyFont="1" applyBorder="1" applyAlignment="1">
      <alignment vertical="center" wrapText="1"/>
    </xf>
    <xf numFmtId="0" fontId="11" fillId="0" borderId="19" xfId="0" applyFont="1" applyBorder="1" applyAlignment="1">
      <alignment horizontal="center" vertical="center"/>
    </xf>
    <xf numFmtId="42" fontId="11" fillId="0" borderId="19" xfId="0" applyNumberFormat="1" applyFont="1" applyBorder="1" applyAlignment="1">
      <alignment horizontal="center" vertical="center"/>
    </xf>
    <xf numFmtId="42" fontId="11" fillId="14" borderId="50" xfId="0" applyNumberFormat="1" applyFont="1" applyFill="1" applyBorder="1" applyAlignment="1">
      <alignment horizontal="center" vertical="center"/>
    </xf>
    <xf numFmtId="0" fontId="3" fillId="6" borderId="48" xfId="0" applyFont="1" applyFill="1" applyBorder="1" applyAlignment="1">
      <alignment horizontal="center" vertical="center"/>
    </xf>
    <xf numFmtId="0" fontId="7" fillId="6" borderId="19" xfId="0" applyFont="1" applyFill="1" applyBorder="1" applyAlignment="1">
      <alignment vertical="center" wrapText="1"/>
    </xf>
    <xf numFmtId="0" fontId="3" fillId="6" borderId="19" xfId="0" applyFont="1" applyFill="1" applyBorder="1" applyAlignment="1">
      <alignment horizontal="center" vertical="center"/>
    </xf>
    <xf numFmtId="42" fontId="3" fillId="6" borderId="19" xfId="0" applyNumberFormat="1" applyFont="1" applyFill="1" applyBorder="1" applyAlignment="1">
      <alignment horizontal="center" vertical="center"/>
    </xf>
    <xf numFmtId="0" fontId="11" fillId="0" borderId="48" xfId="0" applyFont="1" applyBorder="1" applyAlignment="1">
      <alignment horizontal="center" vertical="center"/>
    </xf>
    <xf numFmtId="0" fontId="11" fillId="6" borderId="48" xfId="0" applyFont="1" applyFill="1" applyBorder="1" applyAlignment="1">
      <alignment horizontal="center" vertical="center"/>
    </xf>
    <xf numFmtId="0" fontId="23" fillId="6" borderId="19" xfId="0" applyFont="1" applyFill="1" applyBorder="1" applyAlignment="1">
      <alignment vertical="center" wrapText="1"/>
    </xf>
    <xf numFmtId="0" fontId="11" fillId="6" borderId="19" xfId="0" applyFont="1" applyFill="1" applyBorder="1" applyAlignment="1">
      <alignment horizontal="center" vertical="center"/>
    </xf>
    <xf numFmtId="0" fontId="9" fillId="6" borderId="3" xfId="0" applyFont="1" applyFill="1" applyBorder="1" applyAlignment="1">
      <alignment horizontal="center" vertical="center"/>
    </xf>
    <xf numFmtId="42" fontId="33" fillId="6" borderId="52" xfId="0" applyNumberFormat="1" applyFont="1" applyFill="1" applyBorder="1" applyAlignment="1">
      <alignment horizontal="center" vertical="center"/>
    </xf>
    <xf numFmtId="0" fontId="27" fillId="6" borderId="19" xfId="0" applyFont="1" applyFill="1" applyBorder="1" applyAlignment="1">
      <alignment vertical="center" wrapText="1"/>
    </xf>
    <xf numFmtId="0" fontId="29" fillId="6" borderId="48" xfId="0" applyFont="1" applyFill="1" applyBorder="1" applyAlignment="1">
      <alignment horizontal="center" vertical="center"/>
    </xf>
    <xf numFmtId="0" fontId="29" fillId="6" borderId="19" xfId="0" applyFont="1" applyFill="1" applyBorder="1" applyAlignment="1">
      <alignment horizontal="center" vertical="center"/>
    </xf>
    <xf numFmtId="42" fontId="29" fillId="6" borderId="19" xfId="0" applyNumberFormat="1" applyFont="1" applyFill="1" applyBorder="1" applyAlignment="1">
      <alignment horizontal="center" vertical="center"/>
    </xf>
    <xf numFmtId="0" fontId="61" fillId="14" borderId="77" xfId="0" applyFont="1" applyFill="1" applyBorder="1" applyAlignment="1">
      <alignment horizontal="center" vertical="center"/>
    </xf>
    <xf numFmtId="0" fontId="82" fillId="14" borderId="61" xfId="0" applyFont="1" applyFill="1" applyBorder="1" applyAlignment="1">
      <alignment horizontal="right" vertical="center" wrapText="1"/>
    </xf>
    <xf numFmtId="0" fontId="83" fillId="11" borderId="66" xfId="0" applyFont="1" applyFill="1" applyBorder="1" applyAlignment="1">
      <alignment horizontal="center" vertical="center"/>
    </xf>
    <xf numFmtId="42" fontId="61" fillId="22" borderId="23" xfId="0" applyNumberFormat="1" applyFont="1" applyFill="1" applyBorder="1" applyAlignment="1">
      <alignment horizontal="center" vertical="center"/>
    </xf>
    <xf numFmtId="42" fontId="61" fillId="0" borderId="22" xfId="0" applyNumberFormat="1" applyFont="1" applyBorder="1" applyAlignment="1">
      <alignment horizontal="center" vertical="center"/>
    </xf>
    <xf numFmtId="42" fontId="61" fillId="0" borderId="23" xfId="0" applyNumberFormat="1" applyFont="1" applyBorder="1" applyAlignment="1">
      <alignment horizontal="center" vertical="center"/>
    </xf>
    <xf numFmtId="0" fontId="3" fillId="0" borderId="74" xfId="0" applyFont="1" applyBorder="1" applyAlignment="1">
      <alignment horizontal="center" vertical="center"/>
    </xf>
    <xf numFmtId="0" fontId="0" fillId="15" borderId="2" xfId="0" applyFill="1" applyBorder="1" applyAlignment="1">
      <alignment vertical="center" wrapText="1"/>
    </xf>
    <xf numFmtId="0" fontId="3" fillId="0" borderId="17" xfId="0" applyFont="1" applyBorder="1" applyAlignment="1">
      <alignment horizontal="right" vertical="center" wrapText="1"/>
    </xf>
    <xf numFmtId="0" fontId="9" fillId="22" borderId="52" xfId="0" applyFont="1" applyFill="1" applyBorder="1" applyAlignment="1">
      <alignment horizontal="left" vertical="center" wrapText="1"/>
    </xf>
    <xf numFmtId="0" fontId="37" fillId="20" borderId="25" xfId="0" applyFont="1" applyFill="1" applyBorder="1" applyAlignment="1">
      <alignment vertical="center" wrapText="1"/>
    </xf>
    <xf numFmtId="0" fontId="24" fillId="20" borderId="52" xfId="0" applyFont="1" applyFill="1" applyBorder="1" applyAlignment="1">
      <alignment horizontal="left" vertical="center" wrapText="1"/>
    </xf>
    <xf numFmtId="0" fontId="3" fillId="22" borderId="48" xfId="0" applyFont="1" applyFill="1" applyBorder="1" applyAlignment="1">
      <alignment horizontal="center" vertical="center"/>
    </xf>
    <xf numFmtId="0" fontId="3" fillId="22" borderId="19" xfId="0" applyFont="1" applyFill="1" applyBorder="1" applyAlignment="1">
      <alignment horizontal="center" vertical="center"/>
    </xf>
    <xf numFmtId="42" fontId="3" fillId="22" borderId="19" xfId="0" applyNumberFormat="1" applyFont="1" applyFill="1" applyBorder="1" applyAlignment="1">
      <alignment horizontal="center" vertical="center"/>
    </xf>
    <xf numFmtId="42" fontId="33" fillId="17" borderId="14" xfId="0" applyNumberFormat="1" applyFont="1" applyFill="1" applyBorder="1" applyAlignment="1">
      <alignment horizontal="center" vertical="center"/>
    </xf>
    <xf numFmtId="0" fontId="3" fillId="3" borderId="77" xfId="0" applyFont="1" applyFill="1" applyBorder="1" applyAlignment="1">
      <alignment horizontal="center" vertical="center"/>
    </xf>
    <xf numFmtId="0" fontId="41" fillId="3" borderId="61" xfId="0" applyFont="1" applyFill="1" applyBorder="1" applyAlignment="1">
      <alignment horizontal="right" vertical="center" wrapText="1"/>
    </xf>
    <xf numFmtId="0" fontId="3" fillId="3" borderId="66" xfId="0" applyFont="1" applyFill="1" applyBorder="1" applyAlignment="1">
      <alignment horizontal="center" vertical="center"/>
    </xf>
    <xf numFmtId="42" fontId="3" fillId="3" borderId="23" xfId="0" applyNumberFormat="1" applyFont="1" applyFill="1" applyBorder="1" applyAlignment="1">
      <alignment horizontal="center" vertical="center"/>
    </xf>
    <xf numFmtId="42" fontId="3" fillId="3" borderId="22" xfId="0" applyNumberFormat="1" applyFont="1" applyFill="1" applyBorder="1" applyAlignment="1">
      <alignment horizontal="center" vertical="center"/>
    </xf>
    <xf numFmtId="0" fontId="9" fillId="3" borderId="22" xfId="0" applyFont="1" applyFill="1" applyBorder="1" applyAlignment="1">
      <alignment horizontal="left" vertical="center" wrapText="1"/>
    </xf>
    <xf numFmtId="0" fontId="3" fillId="22" borderId="49" xfId="0" applyFont="1" applyFill="1" applyBorder="1" applyAlignment="1">
      <alignment horizontal="center" vertical="center"/>
    </xf>
    <xf numFmtId="0" fontId="0" fillId="22" borderId="22" xfId="0" applyFill="1" applyBorder="1" applyAlignment="1">
      <alignment horizontal="right" vertical="center" wrapText="1"/>
    </xf>
    <xf numFmtId="0" fontId="3" fillId="22" borderId="22" xfId="0" applyFont="1" applyFill="1" applyBorder="1" applyAlignment="1">
      <alignment horizontal="center" vertical="center"/>
    </xf>
    <xf numFmtId="42" fontId="3" fillId="22" borderId="22" xfId="0" applyNumberFormat="1" applyFont="1" applyFill="1" applyBorder="1" applyAlignment="1">
      <alignment horizontal="center" vertical="center"/>
    </xf>
    <xf numFmtId="0" fontId="3" fillId="20" borderId="48" xfId="0" applyFont="1" applyFill="1" applyBorder="1" applyAlignment="1">
      <alignment horizontal="center" vertical="center"/>
    </xf>
    <xf numFmtId="0" fontId="37" fillId="20" borderId="19" xfId="0" applyFont="1" applyFill="1" applyBorder="1" applyAlignment="1">
      <alignment vertical="center" wrapText="1"/>
    </xf>
    <xf numFmtId="0" fontId="3" fillId="20" borderId="19" xfId="0" applyFont="1" applyFill="1" applyBorder="1" applyAlignment="1">
      <alignment horizontal="center" vertical="center"/>
    </xf>
    <xf numFmtId="42" fontId="3" fillId="20" borderId="28" xfId="0" applyNumberFormat="1" applyFont="1" applyFill="1" applyBorder="1" applyAlignment="1">
      <alignment horizontal="center" vertical="center"/>
    </xf>
    <xf numFmtId="0" fontId="11" fillId="20" borderId="48" xfId="0" applyFont="1" applyFill="1" applyBorder="1" applyAlignment="1">
      <alignment horizontal="center" vertical="center"/>
    </xf>
    <xf numFmtId="0" fontId="42" fillId="20" borderId="19" xfId="0" applyFont="1" applyFill="1" applyBorder="1" applyAlignment="1">
      <alignment horizontal="left" vertical="center" wrapText="1"/>
    </xf>
    <xf numFmtId="0" fontId="9" fillId="20" borderId="19" xfId="0" applyFont="1" applyFill="1" applyBorder="1" applyAlignment="1">
      <alignment vertical="center"/>
    </xf>
    <xf numFmtId="42" fontId="11" fillId="20" borderId="28" xfId="0" applyNumberFormat="1" applyFont="1" applyFill="1" applyBorder="1" applyAlignment="1">
      <alignment horizontal="center" vertical="center"/>
    </xf>
    <xf numFmtId="0" fontId="2" fillId="3" borderId="77" xfId="0" applyFont="1" applyFill="1" applyBorder="1" applyAlignment="1">
      <alignment horizontal="center" vertical="center"/>
    </xf>
    <xf numFmtId="0" fontId="27" fillId="3" borderId="61" xfId="0" applyFont="1" applyFill="1" applyBorder="1" applyAlignment="1">
      <alignment horizontal="right" vertical="center" wrapText="1"/>
    </xf>
    <xf numFmtId="0" fontId="2" fillId="3" borderId="66" xfId="0" applyFont="1" applyFill="1" applyBorder="1" applyAlignment="1">
      <alignment horizontal="center" vertical="center"/>
    </xf>
    <xf numFmtId="42" fontId="2" fillId="3" borderId="23" xfId="0" applyNumberFormat="1" applyFont="1" applyFill="1" applyBorder="1" applyAlignment="1">
      <alignment horizontal="center" vertical="center"/>
    </xf>
    <xf numFmtId="42" fontId="2" fillId="3" borderId="22" xfId="0" applyNumberFormat="1" applyFont="1" applyFill="1" applyBorder="1" applyAlignment="1">
      <alignment horizontal="center" vertical="center"/>
    </xf>
    <xf numFmtId="0" fontId="19" fillId="3" borderId="22" xfId="0" applyFont="1" applyFill="1" applyBorder="1" applyAlignment="1">
      <alignment horizontal="left" vertical="center" wrapText="1"/>
    </xf>
    <xf numFmtId="0" fontId="9" fillId="20" borderId="52" xfId="0" applyFont="1" applyFill="1" applyBorder="1" applyAlignment="1">
      <alignment horizontal="left" vertical="center" wrapText="1"/>
    </xf>
    <xf numFmtId="0" fontId="0" fillId="22" borderId="19" xfId="0" applyFill="1" applyBorder="1" applyAlignment="1">
      <alignment vertical="center" wrapText="1"/>
    </xf>
    <xf numFmtId="0" fontId="3" fillId="6" borderId="5" xfId="0" quotePrefix="1" applyFont="1" applyFill="1" applyBorder="1" applyAlignment="1">
      <alignment horizontal="center" vertical="center"/>
    </xf>
    <xf numFmtId="0" fontId="9" fillId="6" borderId="19" xfId="0" applyFont="1" applyFill="1" applyBorder="1" applyAlignment="1">
      <alignment horizontal="left" vertical="center" wrapText="1"/>
    </xf>
    <xf numFmtId="42" fontId="3" fillId="6" borderId="24" xfId="0" applyNumberFormat="1" applyFont="1" applyFill="1" applyBorder="1" applyAlignment="1">
      <alignment horizontal="center" vertical="center"/>
    </xf>
    <xf numFmtId="42" fontId="3" fillId="12" borderId="24" xfId="0" applyNumberFormat="1" applyFont="1" applyFill="1" applyBorder="1" applyAlignment="1">
      <alignment horizontal="center" vertical="center"/>
    </xf>
    <xf numFmtId="42" fontId="3" fillId="12" borderId="52" xfId="0" applyNumberFormat="1" applyFont="1" applyFill="1" applyBorder="1" applyAlignment="1">
      <alignment horizontal="center" vertical="center"/>
    </xf>
    <xf numFmtId="0" fontId="0" fillId="22" borderId="22" xfId="0" applyFill="1" applyBorder="1" applyAlignment="1">
      <alignment vertical="center" wrapText="1"/>
    </xf>
    <xf numFmtId="0" fontId="3" fillId="6" borderId="19" xfId="0" quotePrefix="1" applyFont="1" applyFill="1" applyBorder="1" applyAlignment="1">
      <alignment horizontal="center" vertical="center"/>
    </xf>
    <xf numFmtId="0" fontId="0" fillId="0" borderId="36" xfId="0" quotePrefix="1" applyBorder="1" applyAlignment="1">
      <alignment horizontal="center" vertical="center" wrapText="1"/>
    </xf>
    <xf numFmtId="0" fontId="27" fillId="0" borderId="4" xfId="0" quotePrefix="1" applyFont="1" applyBorder="1" applyAlignment="1">
      <alignment vertical="center" wrapText="1"/>
    </xf>
    <xf numFmtId="0" fontId="3" fillId="0" borderId="5" xfId="0" quotePrefix="1" applyFont="1" applyBorder="1" applyAlignment="1">
      <alignment horizontal="center" vertical="center"/>
    </xf>
    <xf numFmtId="0" fontId="27" fillId="6" borderId="4" xfId="0" quotePrefix="1" applyFont="1" applyFill="1" applyBorder="1" applyAlignment="1">
      <alignment vertical="center" wrapText="1"/>
    </xf>
    <xf numFmtId="0" fontId="3" fillId="14" borderId="27" xfId="0" quotePrefix="1" applyFont="1" applyFill="1" applyBorder="1" applyAlignment="1">
      <alignment horizontal="center" vertical="center"/>
    </xf>
    <xf numFmtId="42" fontId="33" fillId="17" borderId="22" xfId="0" applyNumberFormat="1" applyFont="1" applyFill="1" applyBorder="1" applyAlignment="1">
      <alignment horizontal="center" vertical="center"/>
    </xf>
    <xf numFmtId="0" fontId="11" fillId="22" borderId="49" xfId="0" applyFont="1" applyFill="1" applyBorder="1" applyAlignment="1">
      <alignment horizontal="center" vertical="center"/>
    </xf>
    <xf numFmtId="0" fontId="9" fillId="22" borderId="22" xfId="0" applyFont="1" applyFill="1" applyBorder="1" applyAlignment="1">
      <alignment vertical="center"/>
    </xf>
    <xf numFmtId="0" fontId="11" fillId="22" borderId="22" xfId="0" applyFont="1" applyFill="1" applyBorder="1" applyAlignment="1">
      <alignment horizontal="center" vertical="center"/>
    </xf>
    <xf numFmtId="42" fontId="11" fillId="22" borderId="22" xfId="0" applyNumberFormat="1" applyFont="1" applyFill="1" applyBorder="1" applyAlignment="1">
      <alignment horizontal="left" vertical="center"/>
    </xf>
    <xf numFmtId="42" fontId="33" fillId="22" borderId="22" xfId="0" applyNumberFormat="1" applyFont="1" applyFill="1" applyBorder="1" applyAlignment="1">
      <alignment horizontal="center" vertical="center"/>
    </xf>
    <xf numFmtId="0" fontId="3" fillId="22" borderId="0" xfId="0" applyFont="1" applyFill="1" applyAlignment="1">
      <alignment horizontal="left" vertical="center"/>
    </xf>
    <xf numFmtId="42" fontId="2" fillId="22" borderId="0" xfId="0" applyNumberFormat="1" applyFont="1" applyFill="1" applyAlignment="1">
      <alignment horizontal="left" vertical="center"/>
    </xf>
    <xf numFmtId="42" fontId="3" fillId="22" borderId="0" xfId="0" applyNumberFormat="1" applyFont="1" applyFill="1" applyAlignment="1">
      <alignment horizontal="left" vertical="center"/>
    </xf>
    <xf numFmtId="0" fontId="3" fillId="22" borderId="51" xfId="0" applyFont="1" applyFill="1" applyBorder="1" applyAlignment="1">
      <alignment horizontal="center" vertical="center"/>
    </xf>
    <xf numFmtId="0" fontId="0" fillId="22" borderId="52" xfId="0" applyFill="1" applyBorder="1" applyAlignment="1">
      <alignment vertical="center" wrapText="1"/>
    </xf>
    <xf numFmtId="0" fontId="3" fillId="22" borderId="52" xfId="0" applyFont="1" applyFill="1" applyBorder="1" applyAlignment="1">
      <alignment horizontal="center" vertical="center"/>
    </xf>
    <xf numFmtId="0" fontId="38" fillId="22" borderId="44" xfId="0" applyFont="1" applyFill="1" applyBorder="1" applyAlignment="1">
      <alignment horizontal="center" vertical="center"/>
    </xf>
    <xf numFmtId="0" fontId="41" fillId="14" borderId="2" xfId="0" applyFont="1" applyFill="1" applyBorder="1" applyAlignment="1">
      <alignment horizontal="right" vertical="center" wrapText="1"/>
    </xf>
    <xf numFmtId="0" fontId="36" fillId="20" borderId="78" xfId="0" applyFont="1" applyFill="1" applyBorder="1" applyAlignment="1">
      <alignment horizontal="center" vertical="center"/>
    </xf>
    <xf numFmtId="0" fontId="36" fillId="20" borderId="67" xfId="0" applyFont="1" applyFill="1" applyBorder="1" applyAlignment="1">
      <alignment horizontal="center" vertical="center"/>
    </xf>
    <xf numFmtId="42" fontId="36" fillId="20" borderId="24" xfId="0" applyNumberFormat="1" applyFont="1" applyFill="1" applyBorder="1" applyAlignment="1">
      <alignment horizontal="center" vertical="center"/>
    </xf>
    <xf numFmtId="42" fontId="36" fillId="20" borderId="52" xfId="0" applyNumberFormat="1" applyFont="1" applyFill="1" applyBorder="1" applyAlignment="1">
      <alignment horizontal="center" vertical="center"/>
    </xf>
    <xf numFmtId="42" fontId="36" fillId="20" borderId="29" xfId="0" applyNumberFormat="1" applyFont="1" applyFill="1" applyBorder="1" applyAlignment="1">
      <alignment horizontal="center" vertical="center"/>
    </xf>
    <xf numFmtId="0" fontId="35" fillId="20" borderId="52" xfId="0" applyFont="1" applyFill="1" applyBorder="1" applyAlignment="1">
      <alignment horizontal="left" vertical="center" wrapText="1"/>
    </xf>
    <xf numFmtId="42" fontId="3" fillId="14" borderId="22" xfId="0" applyNumberFormat="1" applyFont="1" applyFill="1" applyBorder="1" applyAlignment="1">
      <alignment horizontal="center" vertical="center"/>
    </xf>
    <xf numFmtId="42" fontId="11" fillId="0" borderId="19" xfId="0" applyNumberFormat="1" applyFont="1" applyBorder="1" applyAlignment="1">
      <alignment horizontal="left" vertical="center"/>
    </xf>
    <xf numFmtId="0" fontId="9" fillId="0" borderId="2" xfId="0" applyFont="1" applyBorder="1" applyAlignment="1">
      <alignment horizontal="left" vertical="center" wrapText="1"/>
    </xf>
    <xf numFmtId="9" fontId="3" fillId="15" borderId="14" xfId="0" applyNumberFormat="1" applyFont="1" applyFill="1" applyBorder="1" applyAlignment="1">
      <alignment horizontal="center" vertical="center"/>
    </xf>
    <xf numFmtId="10" fontId="11" fillId="15" borderId="0" xfId="0" applyNumberFormat="1" applyFont="1" applyFill="1" applyAlignment="1">
      <alignment horizontal="center" vertical="center"/>
    </xf>
    <xf numFmtId="10" fontId="11" fillId="15" borderId="30" xfId="0" applyNumberFormat="1" applyFont="1" applyFill="1" applyBorder="1" applyAlignment="1">
      <alignment horizontal="center" vertical="center"/>
    </xf>
    <xf numFmtId="0" fontId="0" fillId="0" borderId="17" xfId="0" applyBorder="1" applyAlignment="1">
      <alignment horizontal="left" vertical="center" wrapText="1"/>
    </xf>
    <xf numFmtId="42" fontId="11" fillId="22" borderId="22" xfId="0" applyNumberFormat="1" applyFont="1" applyFill="1" applyBorder="1" applyAlignment="1">
      <alignment horizontal="center" vertical="center"/>
    </xf>
    <xf numFmtId="0" fontId="17" fillId="20" borderId="78" xfId="0" applyFont="1" applyFill="1" applyBorder="1" applyAlignment="1">
      <alignment horizontal="center" vertical="center"/>
    </xf>
    <xf numFmtId="0" fontId="17" fillId="20" borderId="67" xfId="0" applyFont="1" applyFill="1" applyBorder="1" applyAlignment="1">
      <alignment horizontal="center" vertical="center"/>
    </xf>
    <xf numFmtId="42" fontId="17" fillId="20" borderId="24" xfId="0" applyNumberFormat="1" applyFont="1" applyFill="1" applyBorder="1" applyAlignment="1">
      <alignment horizontal="center" vertical="center"/>
    </xf>
    <xf numFmtId="42" fontId="17" fillId="20" borderId="52" xfId="0" applyNumberFormat="1" applyFont="1" applyFill="1" applyBorder="1" applyAlignment="1">
      <alignment horizontal="center" vertical="center"/>
    </xf>
    <xf numFmtId="42" fontId="17" fillId="20" borderId="29" xfId="0" applyNumberFormat="1" applyFont="1" applyFill="1" applyBorder="1" applyAlignment="1">
      <alignment horizontal="center" vertical="center"/>
    </xf>
    <xf numFmtId="0" fontId="36" fillId="20" borderId="52" xfId="0" applyFont="1" applyFill="1" applyBorder="1" applyAlignment="1">
      <alignment horizontal="left" vertical="center" wrapText="1"/>
    </xf>
    <xf numFmtId="0" fontId="0" fillId="0" borderId="6" xfId="0" applyBorder="1" applyAlignment="1">
      <alignment horizontal="left" vertical="center" wrapText="1"/>
    </xf>
    <xf numFmtId="0" fontId="10" fillId="0" borderId="79" xfId="0" applyFont="1" applyBorder="1" applyAlignment="1">
      <alignment horizontal="center" vertical="center"/>
    </xf>
    <xf numFmtId="0" fontId="62" fillId="0" borderId="2" xfId="0" applyFont="1" applyBorder="1" applyAlignment="1">
      <alignment vertical="center" wrapText="1"/>
    </xf>
    <xf numFmtId="0" fontId="10" fillId="0" borderId="27" xfId="0" applyFont="1" applyBorder="1" applyAlignment="1">
      <alignment horizontal="center" vertical="center"/>
    </xf>
    <xf numFmtId="42" fontId="61" fillId="0" borderId="14" xfId="0" quotePrefix="1" applyNumberFormat="1" applyFont="1" applyBorder="1" applyAlignment="1">
      <alignment horizontal="center" vertical="center"/>
    </xf>
    <xf numFmtId="42" fontId="61" fillId="0" borderId="0" xfId="0" quotePrefix="1" applyNumberFormat="1" applyFont="1" applyAlignment="1">
      <alignment horizontal="center" vertical="center"/>
    </xf>
    <xf numFmtId="42" fontId="61" fillId="0" borderId="30" xfId="0" applyNumberFormat="1" applyFont="1" applyBorder="1" applyAlignment="1">
      <alignment horizontal="center" vertical="center"/>
    </xf>
    <xf numFmtId="0" fontId="62" fillId="0" borderId="0" xfId="0" applyFont="1" applyAlignment="1">
      <alignment horizontal="left" vertical="center" wrapText="1"/>
    </xf>
    <xf numFmtId="0" fontId="9" fillId="14" borderId="22" xfId="0" applyFont="1" applyFill="1" applyBorder="1" applyAlignment="1">
      <alignment horizontal="center" vertical="center" wrapText="1"/>
    </xf>
    <xf numFmtId="0" fontId="9" fillId="6" borderId="52" xfId="0" applyFont="1" applyFill="1" applyBorder="1" applyAlignment="1">
      <alignment horizontal="center" vertical="center" wrapText="1"/>
    </xf>
    <xf numFmtId="0" fontId="41" fillId="0" borderId="22" xfId="0" applyFont="1" applyBorder="1" applyAlignment="1">
      <alignment horizontal="right" vertical="center" wrapText="1"/>
    </xf>
    <xf numFmtId="0" fontId="41" fillId="0" borderId="52" xfId="0" applyFont="1" applyBorder="1" applyAlignment="1">
      <alignment horizontal="right" vertical="center" wrapText="1"/>
    </xf>
    <xf numFmtId="0" fontId="19" fillId="0" borderId="52" xfId="0" applyFont="1" applyBorder="1" applyAlignment="1">
      <alignment horizontal="left" vertical="center" wrapText="1"/>
    </xf>
    <xf numFmtId="0" fontId="88" fillId="6" borderId="19" xfId="0" applyFont="1" applyFill="1" applyBorder="1" applyAlignment="1">
      <alignment horizontal="left" vertical="center" wrapText="1"/>
    </xf>
    <xf numFmtId="0" fontId="9" fillId="22" borderId="19" xfId="0" applyFont="1" applyFill="1" applyBorder="1" applyAlignment="1">
      <alignment horizontal="left" vertical="center" wrapText="1"/>
    </xf>
    <xf numFmtId="0" fontId="9" fillId="22" borderId="22" xfId="0" applyFont="1" applyFill="1" applyBorder="1" applyAlignment="1">
      <alignment horizontal="left" vertical="center" wrapText="1"/>
    </xf>
    <xf numFmtId="0" fontId="9" fillId="22" borderId="22" xfId="0" applyFont="1" applyFill="1" applyBorder="1" applyAlignment="1">
      <alignment horizontal="left" vertical="center"/>
    </xf>
    <xf numFmtId="0" fontId="23" fillId="22" borderId="0" xfId="0" quotePrefix="1" applyFont="1" applyFill="1" applyAlignment="1">
      <alignment horizontal="left" vertical="center" wrapText="1"/>
    </xf>
    <xf numFmtId="0" fontId="9" fillId="6" borderId="24" xfId="0" applyFont="1" applyFill="1" applyBorder="1" applyAlignment="1">
      <alignment horizontal="center" vertical="center"/>
    </xf>
    <xf numFmtId="0" fontId="9" fillId="0" borderId="3" xfId="0" applyFont="1" applyBorder="1" applyAlignment="1">
      <alignment horizontal="center" vertical="center"/>
    </xf>
    <xf numFmtId="0" fontId="9" fillId="22" borderId="23" xfId="0" applyFont="1" applyFill="1" applyBorder="1" applyAlignment="1">
      <alignment horizontal="center" vertical="center"/>
    </xf>
    <xf numFmtId="0" fontId="25" fillId="22" borderId="14" xfId="0" applyFont="1" applyFill="1" applyBorder="1" applyAlignment="1">
      <alignment horizontal="center" vertical="center"/>
    </xf>
    <xf numFmtId="0" fontId="9" fillId="20" borderId="24" xfId="0" applyFont="1" applyFill="1" applyBorder="1" applyAlignment="1">
      <alignment horizontal="center" vertical="center"/>
    </xf>
    <xf numFmtId="0" fontId="3" fillId="6" borderId="51" xfId="0" applyFont="1" applyFill="1" applyBorder="1" applyAlignment="1">
      <alignment horizontal="center" vertical="center"/>
    </xf>
    <xf numFmtId="0" fontId="7" fillId="6" borderId="52" xfId="0" applyFont="1" applyFill="1" applyBorder="1" applyAlignment="1">
      <alignment vertical="center" wrapText="1"/>
    </xf>
    <xf numFmtId="0" fontId="3" fillId="6" borderId="52" xfId="0" applyFont="1" applyFill="1" applyBorder="1" applyAlignment="1">
      <alignment horizontal="center" vertical="center"/>
    </xf>
    <xf numFmtId="42" fontId="3" fillId="6" borderId="52" xfId="0" applyNumberFormat="1" applyFont="1" applyFill="1" applyBorder="1" applyAlignment="1">
      <alignment horizontal="center" vertical="center"/>
    </xf>
    <xf numFmtId="0" fontId="0" fillId="0" borderId="46" xfId="0" applyBorder="1" applyAlignment="1">
      <alignment horizontal="left" vertical="center" wrapText="1"/>
    </xf>
    <xf numFmtId="0" fontId="0" fillId="0" borderId="0" xfId="0" applyAlignment="1">
      <alignment horizontal="left" vertical="top" wrapText="1"/>
    </xf>
    <xf numFmtId="0" fontId="29" fillId="20" borderId="48" xfId="0" applyFont="1" applyFill="1" applyBorder="1" applyAlignment="1">
      <alignment horizontal="center" vertical="center"/>
    </xf>
    <xf numFmtId="0" fontId="29" fillId="20" borderId="19" xfId="0" applyFont="1" applyFill="1" applyBorder="1" applyAlignment="1">
      <alignment horizontal="center" vertical="center"/>
    </xf>
    <xf numFmtId="42" fontId="29" fillId="20" borderId="19" xfId="0" applyNumberFormat="1" applyFont="1" applyFill="1" applyBorder="1" applyAlignment="1">
      <alignment horizontal="center" vertical="center"/>
    </xf>
    <xf numFmtId="42" fontId="40" fillId="20" borderId="19" xfId="0" applyNumberFormat="1" applyFont="1" applyFill="1" applyBorder="1" applyAlignment="1">
      <alignment horizontal="center" vertical="center"/>
    </xf>
    <xf numFmtId="0" fontId="88" fillId="20" borderId="19" xfId="0" applyFont="1" applyFill="1" applyBorder="1" applyAlignment="1">
      <alignment horizontal="left" vertical="center" wrapText="1"/>
    </xf>
    <xf numFmtId="0" fontId="2" fillId="0" borderId="4" xfId="0" quotePrefix="1" applyFont="1" applyBorder="1" applyAlignment="1">
      <alignment horizontal="right" vertical="center" wrapText="1"/>
    </xf>
    <xf numFmtId="0" fontId="45" fillId="0" borderId="0" xfId="0" applyFont="1" applyAlignment="1">
      <alignment horizontal="left" vertical="center"/>
    </xf>
    <xf numFmtId="0" fontId="27" fillId="2" borderId="36" xfId="0" applyFont="1" applyFill="1" applyBorder="1" applyAlignment="1">
      <alignment horizontal="center" vertical="center"/>
    </xf>
    <xf numFmtId="0" fontId="0" fillId="0" borderId="30" xfId="0" applyBorder="1" applyAlignment="1">
      <alignment horizontal="center" vertical="center"/>
    </xf>
    <xf numFmtId="42" fontId="3" fillId="15" borderId="49" xfId="0" applyNumberFormat="1" applyFont="1" applyFill="1" applyBorder="1" applyAlignment="1">
      <alignment horizontal="center" vertical="center"/>
    </xf>
    <xf numFmtId="42" fontId="3" fillId="15" borderId="54" xfId="0" applyNumberFormat="1" applyFont="1" applyFill="1" applyBorder="1" applyAlignment="1">
      <alignment horizontal="center" vertical="center"/>
    </xf>
    <xf numFmtId="42" fontId="3" fillId="15" borderId="50" xfId="0" applyNumberFormat="1" applyFont="1" applyFill="1" applyBorder="1" applyAlignment="1">
      <alignment horizontal="center" vertical="center"/>
    </xf>
    <xf numFmtId="42" fontId="3" fillId="15" borderId="32" xfId="0" applyNumberFormat="1" applyFont="1" applyFill="1" applyBorder="1" applyAlignment="1">
      <alignment horizontal="center" vertical="center"/>
    </xf>
    <xf numFmtId="0" fontId="3" fillId="6" borderId="78" xfId="0" applyFont="1" applyFill="1" applyBorder="1" applyAlignment="1">
      <alignment horizontal="centerContinuous" vertical="center"/>
    </xf>
    <xf numFmtId="0" fontId="7" fillId="6" borderId="25" xfId="0" applyFont="1" applyFill="1" applyBorder="1" applyAlignment="1">
      <alignment horizontal="centerContinuous" vertical="center"/>
    </xf>
    <xf numFmtId="0" fontId="3" fillId="4" borderId="74" xfId="0" quotePrefix="1" applyFont="1" applyFill="1" applyBorder="1" applyAlignment="1">
      <alignment horizontal="right" vertical="center" wrapText="1"/>
    </xf>
    <xf numFmtId="0" fontId="3" fillId="3" borderId="27" xfId="0" quotePrefix="1" applyFont="1" applyFill="1" applyBorder="1" applyAlignment="1">
      <alignment horizontal="center" vertical="center"/>
    </xf>
    <xf numFmtId="42" fontId="3" fillId="4" borderId="14" xfId="0" applyNumberFormat="1" applyFont="1" applyFill="1" applyBorder="1" applyAlignment="1">
      <alignment horizontal="center" vertical="center"/>
    </xf>
    <xf numFmtId="0" fontId="0" fillId="0" borderId="48" xfId="0" quotePrefix="1" applyBorder="1" applyAlignment="1">
      <alignment horizontal="center" vertical="center" wrapText="1"/>
    </xf>
    <xf numFmtId="42" fontId="11" fillId="4" borderId="28" xfId="0" applyNumberFormat="1" applyFont="1" applyFill="1" applyBorder="1" applyAlignment="1">
      <alignment horizontal="center" vertical="center"/>
    </xf>
    <xf numFmtId="0" fontId="3" fillId="4" borderId="60" xfId="0" applyFont="1" applyFill="1" applyBorder="1" applyAlignment="1">
      <alignment horizontal="center" vertical="center"/>
    </xf>
    <xf numFmtId="0" fontId="2" fillId="4" borderId="61" xfId="0" quotePrefix="1" applyFont="1" applyFill="1" applyBorder="1" applyAlignment="1">
      <alignment horizontal="right" vertical="center" wrapText="1"/>
    </xf>
    <xf numFmtId="0" fontId="9" fillId="4" borderId="22" xfId="0" quotePrefix="1" applyFont="1" applyFill="1" applyBorder="1" applyAlignment="1">
      <alignment horizontal="left" vertical="center" wrapText="1"/>
    </xf>
    <xf numFmtId="42" fontId="3" fillId="2" borderId="23" xfId="0" applyNumberFormat="1" applyFont="1" applyFill="1" applyBorder="1" applyAlignment="1">
      <alignment horizontal="center" vertical="center"/>
    </xf>
    <xf numFmtId="0" fontId="9" fillId="0" borderId="17" xfId="0" quotePrefix="1" applyFont="1" applyBorder="1" applyAlignment="1">
      <alignment vertical="center" wrapText="1"/>
    </xf>
    <xf numFmtId="0" fontId="23" fillId="6" borderId="28" xfId="0" applyFont="1" applyFill="1" applyBorder="1" applyAlignment="1">
      <alignment horizontal="left" vertical="center" wrapText="1"/>
    </xf>
    <xf numFmtId="0" fontId="3" fillId="22" borderId="0" xfId="0" applyFont="1" applyFill="1" applyAlignment="1">
      <alignment horizontal="center" vertical="center"/>
    </xf>
    <xf numFmtId="0" fontId="2" fillId="0" borderId="0" xfId="0" applyFont="1" applyAlignment="1">
      <alignment horizontal="right" vertical="center"/>
    </xf>
    <xf numFmtId="0" fontId="9" fillId="0" borderId="31" xfId="0" applyFont="1" applyBorder="1" applyAlignment="1">
      <alignment horizontal="left" vertical="center" wrapText="1"/>
    </xf>
    <xf numFmtId="0" fontId="0" fillId="4" borderId="3" xfId="0" applyFill="1" applyBorder="1" applyAlignment="1">
      <alignment horizontal="center" vertical="center"/>
    </xf>
    <xf numFmtId="0" fontId="0" fillId="7" borderId="3" xfId="0" applyFill="1" applyBorder="1" applyAlignment="1">
      <alignment horizontal="center" vertical="center"/>
    </xf>
    <xf numFmtId="0" fontId="5" fillId="0" borderId="9" xfId="0" applyFont="1" applyBorder="1" applyAlignment="1">
      <alignment horizontal="center" vertical="center"/>
    </xf>
    <xf numFmtId="0" fontId="62" fillId="0" borderId="9" xfId="0" applyFont="1" applyBorder="1" applyAlignment="1">
      <alignment horizontal="center" vertical="center"/>
    </xf>
    <xf numFmtId="0" fontId="9" fillId="14" borderId="19" xfId="0" applyFont="1" applyFill="1" applyBorder="1" applyAlignment="1">
      <alignment horizontal="left" vertical="center" wrapText="1"/>
    </xf>
    <xf numFmtId="0" fontId="11" fillId="14" borderId="61" xfId="0" applyFont="1" applyFill="1" applyBorder="1" applyAlignment="1">
      <alignment horizontal="right" vertical="center" wrapText="1"/>
    </xf>
    <xf numFmtId="0" fontId="11" fillId="14" borderId="66" xfId="0" applyFont="1" applyFill="1" applyBorder="1" applyAlignment="1">
      <alignment horizontal="center" vertical="center"/>
    </xf>
    <xf numFmtId="0" fontId="11" fillId="14" borderId="22" xfId="0" applyFont="1" applyFill="1" applyBorder="1" applyAlignment="1">
      <alignment horizontal="left" vertical="center" wrapText="1"/>
    </xf>
    <xf numFmtId="0" fontId="9" fillId="0" borderId="15" xfId="0" applyFont="1" applyBorder="1" applyAlignment="1">
      <alignment horizontal="left" vertical="center"/>
    </xf>
    <xf numFmtId="42" fontId="11" fillId="22" borderId="0" xfId="0" applyNumberFormat="1" applyFont="1" applyFill="1" applyAlignment="1">
      <alignment horizontal="center" vertical="center"/>
    </xf>
    <xf numFmtId="0" fontId="40" fillId="6" borderId="48" xfId="0" applyFont="1" applyFill="1" applyBorder="1" applyAlignment="1">
      <alignment horizontal="center" vertical="center"/>
    </xf>
    <xf numFmtId="0" fontId="40" fillId="6" borderId="19" xfId="0" applyFont="1" applyFill="1" applyBorder="1" applyAlignment="1">
      <alignment horizontal="left" vertical="center" wrapText="1"/>
    </xf>
    <xf numFmtId="0" fontId="40" fillId="6" borderId="19" xfId="0" applyFont="1" applyFill="1" applyBorder="1" applyAlignment="1">
      <alignment horizontal="center" vertical="center"/>
    </xf>
    <xf numFmtId="42" fontId="40" fillId="6" borderId="19" xfId="0" applyNumberFormat="1" applyFont="1" applyFill="1" applyBorder="1" applyAlignment="1">
      <alignment horizontal="center" vertical="center"/>
    </xf>
    <xf numFmtId="0" fontId="88" fillId="6" borderId="3" xfId="0" applyFont="1" applyFill="1" applyBorder="1" applyAlignment="1">
      <alignment horizontal="center" vertical="center"/>
    </xf>
    <xf numFmtId="0" fontId="11" fillId="14" borderId="60" xfId="0" applyFont="1" applyFill="1" applyBorder="1" applyAlignment="1">
      <alignment horizontal="center" vertical="center"/>
    </xf>
    <xf numFmtId="0" fontId="41" fillId="14" borderId="25" xfId="0" applyFont="1" applyFill="1" applyBorder="1" applyAlignment="1">
      <alignment horizontal="right" vertical="center" wrapText="1"/>
    </xf>
    <xf numFmtId="0" fontId="3" fillId="14" borderId="67" xfId="0" quotePrefix="1" applyFont="1" applyFill="1" applyBorder="1" applyAlignment="1">
      <alignment horizontal="center" vertical="center"/>
    </xf>
    <xf numFmtId="0" fontId="11" fillId="14" borderId="52" xfId="0" applyFont="1" applyFill="1" applyBorder="1" applyAlignment="1">
      <alignment horizontal="center" vertical="center" wrapText="1"/>
    </xf>
    <xf numFmtId="0" fontId="0" fillId="22" borderId="19" xfId="0" applyFill="1" applyBorder="1" applyAlignment="1">
      <alignment vertical="center"/>
    </xf>
    <xf numFmtId="0" fontId="3" fillId="22" borderId="19" xfId="0" quotePrefix="1" applyFont="1" applyFill="1" applyBorder="1" applyAlignment="1">
      <alignment horizontal="center" vertical="center"/>
    </xf>
    <xf numFmtId="0" fontId="9" fillId="22" borderId="28" xfId="0" applyFont="1" applyFill="1" applyBorder="1" applyAlignment="1">
      <alignment horizontal="left" vertical="center" wrapText="1"/>
    </xf>
    <xf numFmtId="0" fontId="0" fillId="0" borderId="57" xfId="0" applyBorder="1" applyAlignment="1">
      <alignment horizontal="center"/>
    </xf>
    <xf numFmtId="0" fontId="0" fillId="3" borderId="61" xfId="0" applyFill="1" applyBorder="1" applyAlignment="1">
      <alignment vertical="center" wrapText="1"/>
    </xf>
    <xf numFmtId="0" fontId="3" fillId="3" borderId="66" xfId="0" quotePrefix="1" applyFont="1" applyFill="1" applyBorder="1" applyAlignment="1">
      <alignment horizontal="center" vertical="center"/>
    </xf>
    <xf numFmtId="0" fontId="11" fillId="3" borderId="22" xfId="0" applyFont="1" applyFill="1" applyBorder="1" applyAlignment="1">
      <alignment horizontal="center" vertical="center" wrapText="1"/>
    </xf>
    <xf numFmtId="0" fontId="2" fillId="0" borderId="22" xfId="0" applyFont="1" applyBorder="1" applyAlignment="1">
      <alignment vertical="center" wrapText="1"/>
    </xf>
    <xf numFmtId="0" fontId="2" fillId="0" borderId="2" xfId="0" applyFont="1" applyBorder="1" applyAlignment="1">
      <alignment horizontal="right" vertical="center" wrapText="1"/>
    </xf>
    <xf numFmtId="42" fontId="32" fillId="15" borderId="24" xfId="0" applyNumberFormat="1" applyFont="1" applyFill="1" applyBorder="1" applyAlignment="1">
      <alignment horizontal="center" vertical="center"/>
    </xf>
    <xf numFmtId="42" fontId="32" fillId="15" borderId="52" xfId="0" applyNumberFormat="1" applyFont="1" applyFill="1" applyBorder="1" applyAlignment="1">
      <alignment horizontal="center" vertical="center"/>
    </xf>
    <xf numFmtId="0" fontId="9" fillId="0" borderId="0" xfId="0" applyFont="1" applyAlignment="1">
      <alignment horizontal="center" vertical="center" wrapText="1"/>
    </xf>
    <xf numFmtId="42" fontId="11" fillId="15" borderId="45" xfId="0" applyNumberFormat="1" applyFont="1" applyFill="1" applyBorder="1" applyAlignment="1">
      <alignment horizontal="center" vertical="center"/>
    </xf>
    <xf numFmtId="0" fontId="0" fillId="22" borderId="48" xfId="0" applyFill="1" applyBorder="1" applyAlignment="1">
      <alignment horizontal="center"/>
    </xf>
    <xf numFmtId="42" fontId="0" fillId="22" borderId="19" xfId="0" applyNumberFormat="1" applyFill="1" applyBorder="1" applyAlignment="1">
      <alignment horizontal="center"/>
    </xf>
    <xf numFmtId="42" fontId="0" fillId="22" borderId="28" xfId="0" applyNumberFormat="1" applyFill="1" applyBorder="1" applyAlignment="1">
      <alignment horizontal="center"/>
    </xf>
    <xf numFmtId="0" fontId="0" fillId="0" borderId="33" xfId="0" applyBorder="1" applyAlignment="1">
      <alignment horizontal="center"/>
    </xf>
    <xf numFmtId="42" fontId="0" fillId="24" borderId="23" xfId="0" applyNumberFormat="1" applyFill="1" applyBorder="1" applyAlignment="1">
      <alignment horizontal="center"/>
    </xf>
    <xf numFmtId="42" fontId="0" fillId="24" borderId="50" xfId="0" applyNumberFormat="1" applyFill="1" applyBorder="1" applyAlignment="1">
      <alignment horizontal="center"/>
    </xf>
    <xf numFmtId="42" fontId="3" fillId="0" borderId="0" xfId="0" applyNumberFormat="1" applyFont="1" applyAlignment="1">
      <alignment horizontal="right"/>
    </xf>
    <xf numFmtId="42" fontId="0" fillId="0" borderId="46" xfId="0" applyNumberFormat="1" applyBorder="1" applyAlignment="1">
      <alignment horizontal="center"/>
    </xf>
    <xf numFmtId="42" fontId="0" fillId="0" borderId="45" xfId="0" applyNumberFormat="1" applyBorder="1" applyAlignment="1">
      <alignment horizontal="center"/>
    </xf>
    <xf numFmtId="42" fontId="3" fillId="15" borderId="46" xfId="0" applyNumberFormat="1" applyFont="1" applyFill="1" applyBorder="1" applyAlignment="1">
      <alignment horizontal="center"/>
    </xf>
    <xf numFmtId="42" fontId="3" fillId="22" borderId="76" xfId="0" applyNumberFormat="1" applyFont="1" applyFill="1" applyBorder="1" applyAlignment="1">
      <alignment horizontal="center"/>
    </xf>
    <xf numFmtId="42" fontId="3" fillId="15" borderId="10" xfId="0" applyNumberFormat="1" applyFont="1" applyFill="1" applyBorder="1" applyAlignment="1">
      <alignment horizontal="center"/>
    </xf>
    <xf numFmtId="42" fontId="3" fillId="3" borderId="19" xfId="0" applyNumberFormat="1" applyFont="1" applyFill="1" applyBorder="1" applyAlignment="1">
      <alignment horizontal="center"/>
    </xf>
    <xf numFmtId="42" fontId="0" fillId="0" borderId="8" xfId="0" quotePrefix="1" applyNumberFormat="1" applyBorder="1" applyAlignment="1">
      <alignment horizontal="left"/>
    </xf>
    <xf numFmtId="42" fontId="0" fillId="0" borderId="9" xfId="0" quotePrefix="1" applyNumberFormat="1" applyBorder="1" applyAlignment="1">
      <alignment horizontal="left"/>
    </xf>
    <xf numFmtId="42" fontId="0" fillId="0" borderId="26" xfId="0" quotePrefix="1" applyNumberFormat="1" applyBorder="1" applyAlignment="1">
      <alignment horizontal="left"/>
    </xf>
    <xf numFmtId="42" fontId="0" fillId="0" borderId="10" xfId="0" quotePrefix="1" applyNumberFormat="1" applyBorder="1" applyAlignment="1">
      <alignment horizontal="left"/>
    </xf>
    <xf numFmtId="42" fontId="0" fillId="0" borderId="58" xfId="0" quotePrefix="1" applyNumberFormat="1" applyBorder="1" applyAlignment="1">
      <alignment horizontal="left"/>
    </xf>
    <xf numFmtId="42" fontId="10" fillId="0" borderId="46" xfId="0" quotePrefix="1" applyNumberFormat="1" applyFont="1" applyBorder="1" applyAlignment="1">
      <alignment horizontal="left"/>
    </xf>
    <xf numFmtId="42" fontId="10" fillId="0" borderId="58" xfId="0" quotePrefix="1" applyNumberFormat="1" applyFont="1" applyBorder="1" applyAlignment="1">
      <alignment horizontal="left"/>
    </xf>
    <xf numFmtId="42" fontId="10" fillId="0" borderId="47" xfId="0" quotePrefix="1" applyNumberFormat="1" applyFont="1" applyBorder="1" applyAlignment="1">
      <alignment horizontal="left"/>
    </xf>
    <xf numFmtId="42" fontId="10" fillId="0" borderId="32" xfId="0" quotePrefix="1" applyNumberFormat="1" applyFont="1" applyBorder="1" applyAlignment="1">
      <alignment horizontal="left"/>
    </xf>
    <xf numFmtId="42" fontId="3" fillId="14" borderId="22" xfId="0" applyNumberFormat="1" applyFont="1" applyFill="1" applyBorder="1" applyAlignment="1">
      <alignment horizontal="center"/>
    </xf>
    <xf numFmtId="42" fontId="3" fillId="14" borderId="50" xfId="0" applyNumberFormat="1" applyFont="1" applyFill="1" applyBorder="1" applyAlignment="1">
      <alignment horizontal="center"/>
    </xf>
    <xf numFmtId="42" fontId="0" fillId="17" borderId="71" xfId="0" applyNumberFormat="1" applyFill="1" applyBorder="1" applyAlignment="1">
      <alignment horizontal="center"/>
    </xf>
    <xf numFmtId="42" fontId="0" fillId="0" borderId="50" xfId="0" applyNumberFormat="1" applyBorder="1" applyAlignment="1">
      <alignment horizontal="left"/>
    </xf>
    <xf numFmtId="42" fontId="0" fillId="0" borderId="72" xfId="0" applyNumberFormat="1" applyBorder="1" applyAlignment="1">
      <alignment horizontal="left"/>
    </xf>
    <xf numFmtId="42" fontId="0" fillId="0" borderId="32" xfId="0" applyNumberFormat="1" applyBorder="1" applyAlignment="1">
      <alignment horizontal="left"/>
    </xf>
    <xf numFmtId="42" fontId="0" fillId="3" borderId="3" xfId="0" applyNumberFormat="1" applyFill="1" applyBorder="1" applyAlignment="1">
      <alignment horizontal="center"/>
    </xf>
    <xf numFmtId="42" fontId="0" fillId="3" borderId="19" xfId="0" applyNumberFormat="1" applyFill="1" applyBorder="1" applyAlignment="1">
      <alignment horizontal="center"/>
    </xf>
    <xf numFmtId="42" fontId="0" fillId="0" borderId="23" xfId="0" applyNumberFormat="1" applyBorder="1" applyAlignment="1">
      <alignment horizontal="center"/>
    </xf>
    <xf numFmtId="42" fontId="0" fillId="14" borderId="3" xfId="0" applyNumberFormat="1" applyFill="1" applyBorder="1" applyAlignment="1">
      <alignment horizontal="center"/>
    </xf>
    <xf numFmtId="0" fontId="0" fillId="0" borderId="0" xfId="0" applyAlignment="1">
      <alignment horizontal="right"/>
    </xf>
    <xf numFmtId="42" fontId="3" fillId="0" borderId="76" xfId="0" applyNumberFormat="1" applyFont="1" applyBorder="1" applyAlignment="1">
      <alignment horizontal="center"/>
    </xf>
    <xf numFmtId="42" fontId="3" fillId="0" borderId="45" xfId="0" applyNumberFormat="1" applyFont="1" applyBorder="1" applyAlignment="1">
      <alignment horizontal="center"/>
    </xf>
    <xf numFmtId="42" fontId="10" fillId="0" borderId="8" xfId="0" quotePrefix="1" applyNumberFormat="1" applyFont="1" applyBorder="1" applyAlignment="1">
      <alignment horizontal="left"/>
    </xf>
    <xf numFmtId="42" fontId="3" fillId="0" borderId="26" xfId="0" applyNumberFormat="1" applyFont="1" applyBorder="1" applyAlignment="1">
      <alignment horizontal="center"/>
    </xf>
    <xf numFmtId="42" fontId="3" fillId="15" borderId="15" xfId="0" applyNumberFormat="1" applyFont="1" applyFill="1" applyBorder="1" applyAlignment="1">
      <alignment horizontal="center"/>
    </xf>
    <xf numFmtId="42" fontId="3" fillId="15" borderId="23" xfId="0" applyNumberFormat="1" applyFont="1" applyFill="1" applyBorder="1" applyAlignment="1">
      <alignment horizontal="center"/>
    </xf>
    <xf numFmtId="42" fontId="3" fillId="0" borderId="23" xfId="0" applyNumberFormat="1" applyFont="1" applyBorder="1" applyAlignment="1">
      <alignment horizontal="center"/>
    </xf>
    <xf numFmtId="0" fontId="0" fillId="22" borderId="0" xfId="0" applyFill="1" applyAlignment="1">
      <alignment horizontal="center"/>
    </xf>
    <xf numFmtId="42" fontId="3" fillId="22" borderId="0" xfId="0" applyNumberFormat="1" applyFont="1" applyFill="1" applyAlignment="1">
      <alignment horizontal="center"/>
    </xf>
    <xf numFmtId="0" fontId="0" fillId="22" borderId="19" xfId="0" applyFill="1" applyBorder="1" applyAlignment="1">
      <alignment horizontal="right"/>
    </xf>
    <xf numFmtId="42" fontId="3" fillId="22" borderId="19" xfId="0" applyNumberFormat="1" applyFont="1" applyFill="1" applyBorder="1" applyAlignment="1">
      <alignment horizontal="center"/>
    </xf>
    <xf numFmtId="42" fontId="3" fillId="22" borderId="28" xfId="0" applyNumberFormat="1" applyFont="1" applyFill="1" applyBorder="1" applyAlignment="1">
      <alignment horizontal="center"/>
    </xf>
    <xf numFmtId="0" fontId="27" fillId="0" borderId="0" xfId="0" applyFont="1" applyAlignment="1">
      <alignment horizontal="right"/>
    </xf>
    <xf numFmtId="0" fontId="0" fillId="15" borderId="76" xfId="0" applyFill="1" applyBorder="1" applyAlignment="1">
      <alignment horizontal="left"/>
    </xf>
    <xf numFmtId="0" fontId="0" fillId="15" borderId="72" xfId="0" applyFill="1" applyBorder="1" applyAlignment="1">
      <alignment horizontal="left"/>
    </xf>
    <xf numFmtId="0" fontId="0" fillId="15" borderId="14" xfId="0" applyFill="1" applyBorder="1" applyAlignment="1">
      <alignment horizontal="center"/>
    </xf>
    <xf numFmtId="42" fontId="11" fillId="15" borderId="24" xfId="0" applyNumberFormat="1" applyFont="1" applyFill="1" applyBorder="1" applyAlignment="1">
      <alignment horizontal="center"/>
    </xf>
    <xf numFmtId="0" fontId="0" fillId="15" borderId="3" xfId="0" applyFill="1" applyBorder="1" applyAlignment="1">
      <alignment horizontal="center"/>
    </xf>
    <xf numFmtId="42" fontId="0" fillId="0" borderId="3" xfId="0" applyNumberFormat="1" applyBorder="1" applyAlignment="1">
      <alignment horizontal="center"/>
    </xf>
    <xf numFmtId="42" fontId="0" fillId="0" borderId="24" xfId="0" applyNumberFormat="1" applyBorder="1" applyAlignment="1">
      <alignment horizontal="left"/>
    </xf>
    <xf numFmtId="42" fontId="10" fillId="0" borderId="0" xfId="0" quotePrefix="1" applyNumberFormat="1" applyFont="1" applyAlignment="1">
      <alignment horizontal="left"/>
    </xf>
    <xf numFmtId="42" fontId="0" fillId="15" borderId="45" xfId="0" applyNumberFormat="1" applyFill="1" applyBorder="1"/>
    <xf numFmtId="42" fontId="10" fillId="0" borderId="14" xfId="0" quotePrefix="1" applyNumberFormat="1" applyFont="1" applyBorder="1" applyAlignment="1">
      <alignment horizontal="left"/>
    </xf>
    <xf numFmtId="0" fontId="3" fillId="14" borderId="77" xfId="0" applyFont="1" applyFill="1" applyBorder="1" applyAlignment="1">
      <alignment horizontal="right"/>
    </xf>
    <xf numFmtId="0" fontId="0" fillId="15" borderId="56" xfId="0" applyFill="1" applyBorder="1" applyAlignment="1">
      <alignment horizontal="center"/>
    </xf>
    <xf numFmtId="0" fontId="0" fillId="15" borderId="54" xfId="0" applyFill="1" applyBorder="1" applyAlignment="1">
      <alignment horizontal="center"/>
    </xf>
    <xf numFmtId="0" fontId="0" fillId="15" borderId="8" xfId="0" applyFill="1" applyBorder="1" applyAlignment="1">
      <alignment horizontal="left"/>
    </xf>
    <xf numFmtId="0" fontId="0" fillId="15" borderId="9" xfId="0" applyFill="1" applyBorder="1" applyAlignment="1">
      <alignment horizontal="left"/>
    </xf>
    <xf numFmtId="42" fontId="0" fillId="22" borderId="47" xfId="0" applyNumberFormat="1" applyFill="1" applyBorder="1" applyAlignment="1">
      <alignment horizontal="center"/>
    </xf>
    <xf numFmtId="42" fontId="3" fillId="17" borderId="9" xfId="0" applyNumberFormat="1" applyFont="1" applyFill="1" applyBorder="1" applyAlignment="1">
      <alignment horizontal="center"/>
    </xf>
    <xf numFmtId="42" fontId="0" fillId="15" borderId="44" xfId="0" applyNumberFormat="1" applyFill="1" applyBorder="1" applyAlignment="1">
      <alignment horizontal="center"/>
    </xf>
    <xf numFmtId="42" fontId="3" fillId="14" borderId="49" xfId="0" applyNumberFormat="1" applyFont="1" applyFill="1" applyBorder="1" applyAlignment="1">
      <alignment horizontal="center"/>
    </xf>
    <xf numFmtId="42" fontId="3" fillId="0" borderId="31" xfId="0" quotePrefix="1" applyNumberFormat="1" applyFont="1" applyBorder="1" applyAlignment="1">
      <alignment horizontal="left"/>
    </xf>
    <xf numFmtId="42" fontId="3" fillId="0" borderId="58" xfId="0" quotePrefix="1" applyNumberFormat="1" applyFont="1" applyBorder="1" applyAlignment="1">
      <alignment horizontal="left"/>
    </xf>
    <xf numFmtId="42" fontId="3" fillId="0" borderId="8" xfId="0" applyNumberFormat="1" applyFont="1" applyBorder="1" applyAlignment="1">
      <alignment horizontal="left"/>
    </xf>
    <xf numFmtId="42" fontId="3" fillId="0" borderId="9" xfId="0" applyNumberFormat="1" applyFont="1" applyBorder="1" applyAlignment="1">
      <alignment horizontal="left"/>
    </xf>
    <xf numFmtId="42" fontId="3" fillId="0" borderId="26" xfId="0" applyNumberFormat="1" applyFont="1" applyBorder="1" applyAlignment="1">
      <alignment horizontal="left"/>
    </xf>
    <xf numFmtId="42" fontId="3" fillId="0" borderId="45" xfId="0" quotePrefix="1" applyNumberFormat="1" applyFont="1" applyBorder="1" applyAlignment="1">
      <alignment horizontal="left"/>
    </xf>
    <xf numFmtId="42" fontId="3" fillId="0" borderId="46" xfId="0" quotePrefix="1" applyNumberFormat="1" applyFont="1" applyBorder="1" applyAlignment="1">
      <alignment horizontal="left"/>
    </xf>
    <xf numFmtId="0" fontId="3" fillId="0" borderId="53" xfId="0" quotePrefix="1" applyFont="1" applyBorder="1" applyAlignment="1">
      <alignment horizontal="right"/>
    </xf>
    <xf numFmtId="0" fontId="0" fillId="22" borderId="24" xfId="0" applyFill="1" applyBorder="1"/>
    <xf numFmtId="0" fontId="3" fillId="5" borderId="3" xfId="0" applyFont="1" applyFill="1" applyBorder="1" applyAlignment="1">
      <alignment horizontal="center"/>
    </xf>
    <xf numFmtId="0" fontId="3" fillId="5" borderId="70" xfId="0" applyFont="1" applyFill="1" applyBorder="1" applyAlignment="1">
      <alignment horizontal="right"/>
    </xf>
    <xf numFmtId="42" fontId="3" fillId="5" borderId="3" xfId="0" applyNumberFormat="1" applyFont="1" applyFill="1" applyBorder="1" applyAlignment="1">
      <alignment horizontal="center"/>
    </xf>
    <xf numFmtId="42" fontId="3" fillId="5" borderId="48" xfId="0" applyNumberFormat="1" applyFont="1" applyFill="1" applyBorder="1" applyAlignment="1">
      <alignment horizontal="center"/>
    </xf>
    <xf numFmtId="0" fontId="0" fillId="15" borderId="0" xfId="0" applyFill="1" applyAlignment="1">
      <alignment horizontal="right"/>
    </xf>
    <xf numFmtId="42" fontId="0" fillId="22" borderId="0" xfId="0" applyNumberFormat="1" applyFill="1" applyAlignment="1">
      <alignment horizontal="center"/>
    </xf>
    <xf numFmtId="0" fontId="0" fillId="22" borderId="0" xfId="0" applyFill="1" applyAlignment="1">
      <alignment horizontal="left"/>
    </xf>
    <xf numFmtId="42" fontId="3" fillId="14" borderId="48" xfId="0" applyNumberFormat="1" applyFont="1" applyFill="1" applyBorder="1" applyAlignment="1">
      <alignment horizontal="left"/>
    </xf>
    <xf numFmtId="0" fontId="31" fillId="0" borderId="0" xfId="0" applyFont="1"/>
    <xf numFmtId="44" fontId="39" fillId="3" borderId="24" xfId="0" applyNumberFormat="1" applyFont="1" applyFill="1" applyBorder="1" applyAlignment="1">
      <alignment horizontal="center"/>
    </xf>
    <xf numFmtId="0" fontId="3" fillId="0" borderId="0" xfId="0" applyFont="1"/>
    <xf numFmtId="42" fontId="3" fillId="0" borderId="52" xfId="0" applyNumberFormat="1" applyFont="1" applyBorder="1" applyAlignment="1">
      <alignment horizontal="center"/>
    </xf>
    <xf numFmtId="42" fontId="10" fillId="0" borderId="24" xfId="0" quotePrefix="1" applyNumberFormat="1" applyFont="1" applyBorder="1" applyAlignment="1">
      <alignment horizontal="left"/>
    </xf>
    <xf numFmtId="42" fontId="0" fillId="15" borderId="19" xfId="0" applyNumberFormat="1" applyFill="1" applyBorder="1" applyAlignment="1">
      <alignment horizontal="right"/>
    </xf>
    <xf numFmtId="42" fontId="3" fillId="0" borderId="19" xfId="0" applyNumberFormat="1" applyFont="1" applyBorder="1" applyAlignment="1">
      <alignment horizontal="center"/>
    </xf>
    <xf numFmtId="42" fontId="3" fillId="0" borderId="3" xfId="0" applyNumberFormat="1" applyFont="1" applyBorder="1" applyAlignment="1">
      <alignment horizontal="center"/>
    </xf>
    <xf numFmtId="0" fontId="0" fillId="6" borderId="48" xfId="0" applyFill="1" applyBorder="1" applyAlignment="1">
      <alignment horizontal="center"/>
    </xf>
    <xf numFmtId="0" fontId="7" fillId="6" borderId="19" xfId="0" applyFont="1" applyFill="1" applyBorder="1" applyAlignment="1">
      <alignment horizontal="left"/>
    </xf>
    <xf numFmtId="42" fontId="0" fillId="6" borderId="19" xfId="0" applyNumberFormat="1" applyFill="1" applyBorder="1" applyAlignment="1">
      <alignment horizontal="center"/>
    </xf>
    <xf numFmtId="42" fontId="0" fillId="6" borderId="19" xfId="0" applyNumberFormat="1" applyFill="1" applyBorder="1" applyAlignment="1">
      <alignment horizontal="left"/>
    </xf>
    <xf numFmtId="42" fontId="0" fillId="6" borderId="28" xfId="0" applyNumberFormat="1" applyFill="1" applyBorder="1" applyAlignment="1">
      <alignment horizontal="center"/>
    </xf>
    <xf numFmtId="0" fontId="3" fillId="23" borderId="3" xfId="0" applyFont="1" applyFill="1" applyBorder="1" applyAlignment="1">
      <alignment horizontal="center"/>
    </xf>
    <xf numFmtId="0" fontId="3" fillId="23" borderId="19" xfId="0" applyFont="1" applyFill="1" applyBorder="1" applyAlignment="1">
      <alignment horizontal="right"/>
    </xf>
    <xf numFmtId="42" fontId="3" fillId="23" borderId="3" xfId="0" applyNumberFormat="1" applyFont="1" applyFill="1" applyBorder="1" applyAlignment="1">
      <alignment horizontal="center"/>
    </xf>
    <xf numFmtId="42" fontId="3" fillId="23" borderId="19" xfId="0" applyNumberFormat="1" applyFont="1" applyFill="1" applyBorder="1" applyAlignment="1">
      <alignment horizontal="center"/>
    </xf>
    <xf numFmtId="0" fontId="0" fillId="22" borderId="14" xfId="0" applyFill="1" applyBorder="1" applyAlignment="1">
      <alignment horizontal="center"/>
    </xf>
    <xf numFmtId="42" fontId="32" fillId="22" borderId="0" xfId="0" applyNumberFormat="1" applyFont="1" applyFill="1"/>
    <xf numFmtId="42" fontId="0" fillId="22" borderId="14" xfId="0" applyNumberFormat="1" applyFill="1" applyBorder="1" applyAlignment="1">
      <alignment horizontal="center"/>
    </xf>
    <xf numFmtId="42" fontId="3" fillId="22" borderId="30" xfId="0" applyNumberFormat="1" applyFont="1" applyFill="1" applyBorder="1" applyAlignment="1">
      <alignment horizontal="center"/>
    </xf>
    <xf numFmtId="42" fontId="3" fillId="22" borderId="14" xfId="0" applyNumberFormat="1" applyFont="1" applyFill="1" applyBorder="1" applyAlignment="1">
      <alignment horizontal="center"/>
    </xf>
    <xf numFmtId="0" fontId="0" fillId="15" borderId="3" xfId="0" applyFill="1" applyBorder="1" applyAlignment="1">
      <alignment horizontal="right"/>
    </xf>
    <xf numFmtId="0" fontId="10" fillId="0" borderId="0" xfId="0" quotePrefix="1" applyFont="1"/>
    <xf numFmtId="42" fontId="5" fillId="22" borderId="8" xfId="0" quotePrefix="1" applyNumberFormat="1" applyFont="1" applyFill="1" applyBorder="1" applyAlignment="1">
      <alignment horizontal="left"/>
    </xf>
    <xf numFmtId="42" fontId="10" fillId="22" borderId="9" xfId="0" applyNumberFormat="1" applyFont="1" applyFill="1" applyBorder="1" applyAlignment="1">
      <alignment horizontal="left"/>
    </xf>
    <xf numFmtId="42" fontId="10" fillId="22" borderId="26" xfId="0" applyNumberFormat="1" applyFont="1" applyFill="1" applyBorder="1" applyAlignment="1">
      <alignment horizontal="left"/>
    </xf>
    <xf numFmtId="42" fontId="0" fillId="0" borderId="23" xfId="0" quotePrefix="1" applyNumberFormat="1" applyBorder="1" applyAlignment="1">
      <alignment horizontal="left"/>
    </xf>
    <xf numFmtId="42" fontId="10" fillId="0" borderId="3" xfId="0" applyNumberFormat="1" applyFont="1" applyBorder="1" applyAlignment="1">
      <alignment horizontal="left"/>
    </xf>
    <xf numFmtId="42" fontId="29" fillId="25" borderId="11" xfId="0" applyNumberFormat="1" applyFont="1" applyFill="1" applyBorder="1" applyAlignment="1">
      <alignment horizontal="center"/>
    </xf>
    <xf numFmtId="42" fontId="29" fillId="25" borderId="11" xfId="0" applyNumberFormat="1" applyFont="1" applyFill="1" applyBorder="1" applyAlignment="1">
      <alignment horizontal="left"/>
    </xf>
    <xf numFmtId="42" fontId="29" fillId="25" borderId="12" xfId="0" applyNumberFormat="1" applyFont="1" applyFill="1" applyBorder="1" applyAlignment="1">
      <alignment horizontal="center"/>
    </xf>
    <xf numFmtId="42" fontId="29" fillId="25" borderId="20" xfId="0" applyNumberFormat="1" applyFont="1" applyFill="1" applyBorder="1" applyAlignment="1">
      <alignment horizontal="center"/>
    </xf>
    <xf numFmtId="42" fontId="29" fillId="25" borderId="20" xfId="0" applyNumberFormat="1" applyFont="1" applyFill="1" applyBorder="1" applyAlignment="1">
      <alignment horizontal="left"/>
    </xf>
    <xf numFmtId="42" fontId="29" fillId="25" borderId="21" xfId="0" applyNumberFormat="1" applyFont="1" applyFill="1" applyBorder="1" applyAlignment="1">
      <alignment horizontal="center"/>
    </xf>
    <xf numFmtId="0" fontId="29" fillId="25" borderId="73" xfId="0" applyFont="1" applyFill="1" applyBorder="1" applyAlignment="1">
      <alignment horizontal="right"/>
    </xf>
    <xf numFmtId="0" fontId="29" fillId="25" borderId="68" xfId="0" applyFont="1" applyFill="1" applyBorder="1" applyAlignment="1">
      <alignment horizontal="right"/>
    </xf>
    <xf numFmtId="0" fontId="29" fillId="25" borderId="8" xfId="0" applyFont="1" applyFill="1" applyBorder="1" applyAlignment="1">
      <alignment horizontal="center"/>
    </xf>
    <xf numFmtId="0" fontId="29" fillId="25" borderId="26" xfId="0" applyFont="1" applyFill="1" applyBorder="1" applyAlignment="1">
      <alignment horizontal="center"/>
    </xf>
    <xf numFmtId="0" fontId="29" fillId="3" borderId="23" xfId="0" applyFont="1" applyFill="1" applyBorder="1" applyAlignment="1">
      <alignment horizontal="center"/>
    </xf>
    <xf numFmtId="44" fontId="3" fillId="0" borderId="48" xfId="0" applyNumberFormat="1" applyFont="1" applyBorder="1"/>
    <xf numFmtId="42" fontId="0" fillId="0" borderId="8" xfId="0" applyNumberFormat="1" applyBorder="1" applyAlignment="1">
      <alignment horizontal="left"/>
    </xf>
    <xf numFmtId="42" fontId="0" fillId="0" borderId="9" xfId="0" applyNumberFormat="1" applyBorder="1" applyAlignment="1">
      <alignment horizontal="left"/>
    </xf>
    <xf numFmtId="42" fontId="0" fillId="22" borderId="9" xfId="0" applyNumberFormat="1" applyFill="1" applyBorder="1" applyAlignment="1">
      <alignment horizontal="left"/>
    </xf>
    <xf numFmtId="42" fontId="0" fillId="0" borderId="10" xfId="0" applyNumberFormat="1" applyBorder="1" applyAlignment="1">
      <alignment horizontal="left"/>
    </xf>
    <xf numFmtId="42" fontId="0" fillId="15" borderId="56" xfId="0" applyNumberFormat="1" applyFill="1" applyBorder="1"/>
    <xf numFmtId="42" fontId="0" fillId="15" borderId="3" xfId="0" applyNumberFormat="1" applyFill="1" applyBorder="1" applyAlignment="1">
      <alignment horizontal="center"/>
    </xf>
    <xf numFmtId="42" fontId="0" fillId="15" borderId="24" xfId="0" applyNumberFormat="1" applyFill="1" applyBorder="1" applyAlignment="1">
      <alignment horizontal="center"/>
    </xf>
    <xf numFmtId="42" fontId="0" fillId="0" borderId="10" xfId="0" applyNumberFormat="1" applyBorder="1" applyAlignment="1">
      <alignment horizontal="center"/>
    </xf>
    <xf numFmtId="42" fontId="0" fillId="0" borderId="9" xfId="0" applyNumberFormat="1" applyBorder="1" applyAlignment="1">
      <alignment horizontal="center"/>
    </xf>
    <xf numFmtId="42" fontId="0" fillId="22" borderId="10" xfId="0" applyNumberFormat="1" applyFill="1" applyBorder="1" applyAlignment="1">
      <alignment horizontal="center"/>
    </xf>
    <xf numFmtId="42" fontId="0" fillId="0" borderId="33" xfId="0" applyNumberFormat="1" applyBorder="1"/>
    <xf numFmtId="42" fontId="0" fillId="15" borderId="12" xfId="0" applyNumberFormat="1" applyFill="1" applyBorder="1"/>
    <xf numFmtId="42" fontId="0" fillId="0" borderId="33" xfId="0" applyNumberFormat="1" applyBorder="1" applyAlignment="1">
      <alignment horizontal="right"/>
    </xf>
    <xf numFmtId="42" fontId="0" fillId="15" borderId="35" xfId="0" applyNumberFormat="1" applyFill="1" applyBorder="1"/>
    <xf numFmtId="42" fontId="0" fillId="0" borderId="21" xfId="0" applyNumberFormat="1" applyBorder="1" applyAlignment="1">
      <alignment horizontal="center"/>
    </xf>
    <xf numFmtId="0" fontId="0" fillId="6" borderId="3" xfId="0" applyFill="1" applyBorder="1" applyAlignment="1">
      <alignment horizontal="center" vertical="center"/>
    </xf>
    <xf numFmtId="42" fontId="33" fillId="17" borderId="30" xfId="0" applyNumberFormat="1" applyFont="1" applyFill="1" applyBorder="1" applyAlignment="1">
      <alignment horizontal="center"/>
    </xf>
    <xf numFmtId="0" fontId="0" fillId="22" borderId="0" xfId="0" applyFill="1" applyAlignment="1">
      <alignment vertical="center"/>
    </xf>
    <xf numFmtId="0" fontId="15" fillId="22" borderId="3" xfId="0" applyFont="1" applyFill="1" applyBorder="1" applyAlignment="1">
      <alignment vertical="center"/>
    </xf>
    <xf numFmtId="9" fontId="0" fillId="0" borderId="33" xfId="0" applyNumberFormat="1" applyBorder="1" applyAlignment="1">
      <alignment horizontal="center" vertical="center"/>
    </xf>
    <xf numFmtId="9" fontId="0" fillId="0" borderId="34" xfId="0" applyNumberFormat="1" applyBorder="1" applyAlignment="1">
      <alignment horizontal="center" vertical="center"/>
    </xf>
    <xf numFmtId="9" fontId="0" fillId="0" borderId="35" xfId="0" applyNumberFormat="1" applyBorder="1" applyAlignment="1">
      <alignment horizontal="center" vertical="center"/>
    </xf>
    <xf numFmtId="9" fontId="0" fillId="0" borderId="38" xfId="0" applyNumberFormat="1" applyBorder="1" applyAlignment="1">
      <alignment horizontal="center" vertical="center"/>
    </xf>
    <xf numFmtId="9" fontId="0" fillId="0" borderId="37" xfId="0" applyNumberFormat="1" applyBorder="1" applyAlignment="1">
      <alignment horizontal="center" vertical="center"/>
    </xf>
    <xf numFmtId="9" fontId="0" fillId="0" borderId="39" xfId="0" applyNumberFormat="1" applyBorder="1" applyAlignment="1">
      <alignment horizontal="center" vertical="center"/>
    </xf>
    <xf numFmtId="9" fontId="0" fillId="0" borderId="67" xfId="0" applyNumberFormat="1" applyBorder="1" applyAlignment="1">
      <alignment horizontal="center" vertical="center"/>
    </xf>
    <xf numFmtId="42" fontId="3" fillId="15" borderId="19" xfId="0" applyNumberFormat="1" applyFont="1" applyFill="1" applyBorder="1" applyAlignment="1">
      <alignment horizontal="center" vertical="center"/>
    </xf>
    <xf numFmtId="0" fontId="11" fillId="22" borderId="36" xfId="0" applyFont="1" applyFill="1" applyBorder="1" applyAlignment="1">
      <alignment horizontal="center" vertical="center" textRotation="90"/>
    </xf>
    <xf numFmtId="0" fontId="37" fillId="6" borderId="19" xfId="0" applyFont="1" applyFill="1" applyBorder="1" applyAlignment="1">
      <alignment horizontal="left" vertical="center" wrapText="1"/>
    </xf>
    <xf numFmtId="0" fontId="9" fillId="0" borderId="22" xfId="0" applyFont="1" applyBorder="1" applyAlignment="1">
      <alignment vertical="center" wrapText="1"/>
    </xf>
    <xf numFmtId="0" fontId="0" fillId="0" borderId="50" xfId="0" applyBorder="1" applyAlignment="1">
      <alignment horizontal="center" vertical="center"/>
    </xf>
    <xf numFmtId="0" fontId="9" fillId="4" borderId="19" xfId="0" applyFont="1" applyFill="1" applyBorder="1" applyAlignment="1">
      <alignment horizontal="left" vertical="center" wrapText="1"/>
    </xf>
    <xf numFmtId="0" fontId="37" fillId="20" borderId="48" xfId="0" applyFont="1" applyFill="1" applyBorder="1" applyAlignment="1">
      <alignment horizontal="left"/>
    </xf>
    <xf numFmtId="0" fontId="3" fillId="15" borderId="71" xfId="0" applyFont="1" applyFill="1" applyBorder="1" applyAlignment="1">
      <alignment horizontal="center" vertical="center"/>
    </xf>
    <xf numFmtId="0" fontId="2" fillId="14" borderId="78" xfId="0" applyFont="1" applyFill="1" applyBorder="1" applyAlignment="1">
      <alignment horizontal="center" vertical="center"/>
    </xf>
    <xf numFmtId="0" fontId="0" fillId="15" borderId="1" xfId="0" applyFill="1" applyBorder="1" applyAlignment="1">
      <alignment horizontal="left" vertical="center" wrapText="1"/>
    </xf>
    <xf numFmtId="0" fontId="3" fillId="14" borderId="67" xfId="0" applyFont="1" applyFill="1" applyBorder="1" applyAlignment="1">
      <alignment horizontal="center" vertical="center"/>
    </xf>
    <xf numFmtId="0" fontId="3" fillId="15" borderId="34" xfId="0" applyFont="1" applyFill="1" applyBorder="1" applyAlignment="1">
      <alignment horizontal="center" vertical="center"/>
    </xf>
    <xf numFmtId="0" fontId="3" fillId="15" borderId="34" xfId="0" applyFont="1" applyFill="1" applyBorder="1" applyAlignment="1">
      <alignment horizontal="center" vertical="center" wrapText="1"/>
    </xf>
    <xf numFmtId="0" fontId="3" fillId="15" borderId="35" xfId="0" applyFont="1" applyFill="1" applyBorder="1" applyAlignment="1">
      <alignment horizontal="center" vertical="center"/>
    </xf>
    <xf numFmtId="0" fontId="0" fillId="15" borderId="46" xfId="0" applyFill="1" applyBorder="1" applyAlignment="1">
      <alignment horizontal="center" vertical="center"/>
    </xf>
    <xf numFmtId="42" fontId="2" fillId="14" borderId="24" xfId="0" applyNumberFormat="1" applyFont="1" applyFill="1" applyBorder="1" applyAlignment="1">
      <alignment horizontal="center" vertical="center"/>
    </xf>
    <xf numFmtId="42" fontId="3" fillId="15" borderId="54" xfId="0" applyNumberFormat="1" applyFont="1" applyFill="1" applyBorder="1" applyAlignment="1">
      <alignment horizontal="left" vertical="center" wrapText="1"/>
    </xf>
    <xf numFmtId="42" fontId="33" fillId="17" borderId="54" xfId="0" applyNumberFormat="1" applyFont="1" applyFill="1" applyBorder="1" applyAlignment="1">
      <alignment horizontal="center" vertical="center"/>
    </xf>
    <xf numFmtId="42" fontId="11" fillId="15" borderId="54" xfId="0" applyNumberFormat="1" applyFont="1" applyFill="1" applyBorder="1" applyAlignment="1">
      <alignment horizontal="center" vertical="center"/>
    </xf>
    <xf numFmtId="42" fontId="2" fillId="14" borderId="52" xfId="0" applyNumberFormat="1" applyFont="1" applyFill="1" applyBorder="1" applyAlignment="1">
      <alignment horizontal="center" vertical="center"/>
    </xf>
    <xf numFmtId="42" fontId="11" fillId="15" borderId="54" xfId="0" applyNumberFormat="1" applyFont="1" applyFill="1" applyBorder="1" applyAlignment="1">
      <alignment horizontal="left" vertical="center" wrapText="1"/>
    </xf>
    <xf numFmtId="0" fontId="11" fillId="0" borderId="22" xfId="0" applyFont="1" applyBorder="1" applyAlignment="1">
      <alignment horizontal="center" vertical="center"/>
    </xf>
    <xf numFmtId="42" fontId="11" fillId="0" borderId="22" xfId="0" applyNumberFormat="1" applyFont="1" applyBorder="1" applyAlignment="1">
      <alignment horizontal="center" vertical="center"/>
    </xf>
    <xf numFmtId="0" fontId="3" fillId="15" borderId="43" xfId="0" applyFont="1" applyFill="1" applyBorder="1" applyAlignment="1">
      <alignment horizontal="center" vertical="center"/>
    </xf>
    <xf numFmtId="42" fontId="3" fillId="15" borderId="53" xfId="0" applyNumberFormat="1" applyFont="1" applyFill="1" applyBorder="1" applyAlignment="1">
      <alignment horizontal="center" vertical="center"/>
    </xf>
    <xf numFmtId="0" fontId="3" fillId="0" borderId="65" xfId="0" quotePrefix="1" applyFont="1" applyBorder="1" applyAlignment="1">
      <alignment horizontal="center" vertical="center"/>
    </xf>
    <xf numFmtId="42" fontId="3" fillId="22" borderId="24" xfId="0" applyNumberFormat="1" applyFont="1" applyFill="1" applyBorder="1" applyAlignment="1">
      <alignment horizontal="center" vertical="center"/>
    </xf>
    <xf numFmtId="0" fontId="70" fillId="22" borderId="0" xfId="0" quotePrefix="1" applyFont="1" applyFill="1" applyAlignment="1">
      <alignment horizontal="left" vertical="center"/>
    </xf>
    <xf numFmtId="0" fontId="3" fillId="0" borderId="63" xfId="0" quotePrefix="1" applyFont="1" applyBorder="1" applyAlignment="1">
      <alignment horizontal="center" vertical="center" wrapText="1"/>
    </xf>
    <xf numFmtId="42" fontId="3" fillId="12" borderId="24" xfId="0" applyNumberFormat="1" applyFont="1" applyFill="1" applyBorder="1" applyAlignment="1">
      <alignment horizontal="center" vertical="center" wrapText="1"/>
    </xf>
    <xf numFmtId="0" fontId="9" fillId="0" borderId="51" xfId="0" applyFont="1" applyBorder="1" applyAlignment="1">
      <alignment horizontal="left" vertical="center" wrapText="1"/>
    </xf>
    <xf numFmtId="0" fontId="0" fillId="0" borderId="0" xfId="0" applyAlignment="1">
      <alignment vertical="top" wrapText="1"/>
    </xf>
    <xf numFmtId="0" fontId="37" fillId="20" borderId="19" xfId="0" applyFont="1" applyFill="1" applyBorder="1"/>
    <xf numFmtId="0" fontId="37" fillId="20" borderId="19" xfId="0" applyFont="1" applyFill="1" applyBorder="1" applyAlignment="1">
      <alignment horizontal="left"/>
    </xf>
    <xf numFmtId="0" fontId="2" fillId="20" borderId="19" xfId="0" applyFont="1" applyFill="1" applyBorder="1" applyAlignment="1">
      <alignment horizontal="left"/>
    </xf>
    <xf numFmtId="0" fontId="2" fillId="20" borderId="28" xfId="0" applyFont="1" applyFill="1" applyBorder="1" applyAlignment="1">
      <alignment horizontal="left"/>
    </xf>
    <xf numFmtId="0" fontId="37" fillId="20" borderId="48" xfId="0" applyFont="1" applyFill="1" applyBorder="1" applyAlignment="1">
      <alignment horizontal="center"/>
    </xf>
    <xf numFmtId="0" fontId="0" fillId="20" borderId="19" xfId="0" applyFill="1" applyBorder="1" applyAlignment="1">
      <alignment horizontal="center"/>
    </xf>
    <xf numFmtId="0" fontId="0" fillId="20" borderId="28" xfId="0" applyFill="1" applyBorder="1" applyAlignment="1">
      <alignment horizontal="center"/>
    </xf>
    <xf numFmtId="0" fontId="37" fillId="22" borderId="0" xfId="0" applyFont="1" applyFill="1" applyAlignment="1">
      <alignment horizontal="center"/>
    </xf>
    <xf numFmtId="0" fontId="7" fillId="22" borderId="0" xfId="0" applyFont="1" applyFill="1" applyAlignment="1">
      <alignment horizontal="left"/>
    </xf>
    <xf numFmtId="0" fontId="0" fillId="22" borderId="3" xfId="0" applyFill="1" applyBorder="1" applyAlignment="1">
      <alignment horizontal="center" vertical="center"/>
    </xf>
    <xf numFmtId="0" fontId="0" fillId="22" borderId="0" xfId="0" applyFill="1" applyAlignment="1">
      <alignment vertical="top"/>
    </xf>
    <xf numFmtId="0" fontId="2" fillId="20" borderId="19" xfId="0" applyFont="1" applyFill="1" applyBorder="1"/>
    <xf numFmtId="0" fontId="2" fillId="20" borderId="28" xfId="0" applyFont="1" applyFill="1" applyBorder="1"/>
    <xf numFmtId="0" fontId="19" fillId="2" borderId="3" xfId="0" applyFont="1" applyFill="1" applyBorder="1" applyAlignment="1">
      <alignment horizontal="center" vertical="center"/>
    </xf>
    <xf numFmtId="0" fontId="0" fillId="20" borderId="28" xfId="0" applyFill="1" applyBorder="1" applyAlignment="1">
      <alignment horizontal="center" vertical="center"/>
    </xf>
    <xf numFmtId="0" fontId="3" fillId="22" borderId="44" xfId="0" applyFont="1" applyFill="1" applyBorder="1" applyAlignment="1">
      <alignment horizontal="center" vertical="center"/>
    </xf>
    <xf numFmtId="0" fontId="37" fillId="22" borderId="0" xfId="0" quotePrefix="1" applyFont="1" applyFill="1" applyAlignment="1">
      <alignment vertical="center" wrapText="1"/>
    </xf>
    <xf numFmtId="0" fontId="43" fillId="22" borderId="0" xfId="0" quotePrefix="1" applyFont="1" applyFill="1" applyAlignment="1">
      <alignment horizontal="left" vertical="center" wrapText="1"/>
    </xf>
    <xf numFmtId="0" fontId="37" fillId="20" borderId="19" xfId="0" quotePrefix="1" applyFont="1" applyFill="1" applyBorder="1" applyAlignment="1">
      <alignment vertical="center" wrapText="1"/>
    </xf>
    <xf numFmtId="0" fontId="43" fillId="20" borderId="28" xfId="0" quotePrefix="1" applyFont="1" applyFill="1" applyBorder="1" applyAlignment="1">
      <alignment horizontal="left" vertical="center" wrapText="1"/>
    </xf>
    <xf numFmtId="0" fontId="90" fillId="20" borderId="48" xfId="0" applyFont="1" applyFill="1" applyBorder="1"/>
    <xf numFmtId="0" fontId="90" fillId="20" borderId="19" xfId="0" applyFont="1" applyFill="1" applyBorder="1" applyAlignment="1">
      <alignment horizontal="center"/>
    </xf>
    <xf numFmtId="0" fontId="90" fillId="20" borderId="28" xfId="0" applyFont="1" applyFill="1" applyBorder="1" applyAlignment="1">
      <alignment horizontal="center"/>
    </xf>
    <xf numFmtId="0" fontId="0" fillId="0" borderId="55" xfId="0" applyBorder="1" applyAlignment="1">
      <alignment vertical="top" wrapText="1"/>
    </xf>
    <xf numFmtId="0" fontId="0" fillId="0" borderId="53" xfId="0" applyBorder="1" applyAlignment="1">
      <alignment vertical="top" wrapText="1"/>
    </xf>
    <xf numFmtId="44" fontId="9" fillId="0" borderId="8" xfId="0" applyNumberFormat="1" applyFont="1" applyBorder="1" applyAlignment="1">
      <alignment vertical="center"/>
    </xf>
    <xf numFmtId="0" fontId="0" fillId="0" borderId="57" xfId="0" applyBorder="1" applyAlignment="1">
      <alignment vertical="top" wrapText="1"/>
    </xf>
    <xf numFmtId="42" fontId="71" fillId="0" borderId="26" xfId="0" applyNumberFormat="1" applyFont="1" applyBorder="1" applyAlignment="1">
      <alignment horizontal="center" vertical="center"/>
    </xf>
    <xf numFmtId="0" fontId="0" fillId="0" borderId="8" xfId="0" applyBorder="1" applyAlignment="1">
      <alignment vertical="center" wrapText="1"/>
    </xf>
    <xf numFmtId="0" fontId="0" fillId="0" borderId="26" xfId="0" applyBorder="1" applyAlignment="1">
      <alignment vertical="center" wrapText="1"/>
    </xf>
    <xf numFmtId="0" fontId="0" fillId="22" borderId="6" xfId="0" quotePrefix="1" applyFill="1" applyBorder="1" applyAlignment="1">
      <alignment vertical="center" wrapText="1"/>
    </xf>
    <xf numFmtId="0" fontId="0" fillId="0" borderId="4" xfId="0" quotePrefix="1" applyBorder="1" applyAlignment="1">
      <alignment vertical="center" wrapText="1"/>
    </xf>
    <xf numFmtId="0" fontId="0" fillId="0" borderId="53" xfId="0" applyBorder="1" applyAlignment="1">
      <alignment horizontal="centerContinuous" vertical="center"/>
    </xf>
    <xf numFmtId="0" fontId="0" fillId="17" borderId="0" xfId="0" applyFill="1" applyAlignment="1">
      <alignment vertical="center"/>
    </xf>
    <xf numFmtId="0" fontId="0" fillId="17" borderId="0" xfId="0" applyFill="1" applyAlignment="1">
      <alignment horizontal="left" vertical="center"/>
    </xf>
    <xf numFmtId="0" fontId="0" fillId="15" borderId="33" xfId="0" quotePrefix="1" applyFill="1" applyBorder="1" applyAlignment="1">
      <alignment horizontal="center" vertical="center" wrapText="1"/>
    </xf>
    <xf numFmtId="0" fontId="0" fillId="15" borderId="73" xfId="0" quotePrefix="1" applyFill="1" applyBorder="1" applyAlignment="1">
      <alignment horizontal="left" vertical="center" wrapText="1"/>
    </xf>
    <xf numFmtId="0" fontId="0" fillId="15" borderId="34" xfId="0" quotePrefix="1" applyFill="1" applyBorder="1" applyAlignment="1">
      <alignment horizontal="center" vertical="center" wrapText="1"/>
    </xf>
    <xf numFmtId="0" fontId="0" fillId="15" borderId="7" xfId="0" quotePrefix="1" applyFill="1" applyBorder="1" applyAlignment="1">
      <alignment horizontal="left" vertical="center" wrapText="1"/>
    </xf>
    <xf numFmtId="0" fontId="0" fillId="15" borderId="7" xfId="0" quotePrefix="1" applyFill="1" applyBorder="1" applyAlignment="1">
      <alignment vertical="center" wrapText="1"/>
    </xf>
    <xf numFmtId="0" fontId="0" fillId="15" borderId="34" xfId="0" quotePrefix="1" applyFill="1" applyBorder="1" applyAlignment="1">
      <alignment horizontal="center" wrapText="1"/>
    </xf>
    <xf numFmtId="0" fontId="0" fillId="15" borderId="35" xfId="0" quotePrefix="1" applyFill="1" applyBorder="1" applyAlignment="1">
      <alignment horizontal="center" vertical="center" wrapText="1"/>
    </xf>
    <xf numFmtId="0" fontId="0" fillId="15" borderId="68" xfId="0" quotePrefix="1" applyFill="1" applyBorder="1" applyAlignment="1">
      <alignment vertical="center" wrapText="1"/>
    </xf>
    <xf numFmtId="0" fontId="0" fillId="15" borderId="34" xfId="0" applyFill="1" applyBorder="1" applyAlignment="1">
      <alignment horizontal="center" vertical="center"/>
    </xf>
    <xf numFmtId="0" fontId="9" fillId="15" borderId="34" xfId="0" applyFont="1" applyFill="1" applyBorder="1" applyAlignment="1">
      <alignment horizontal="center" vertical="center" wrapText="1"/>
    </xf>
    <xf numFmtId="0" fontId="0" fillId="15" borderId="35" xfId="0" applyFill="1" applyBorder="1" applyAlignment="1">
      <alignment horizontal="center" vertical="center"/>
    </xf>
    <xf numFmtId="0" fontId="24" fillId="0" borderId="19" xfId="0" applyFont="1" applyBorder="1" applyAlignment="1">
      <alignment horizontal="left" vertical="center" wrapText="1"/>
    </xf>
    <xf numFmtId="0" fontId="0" fillId="0" borderId="2" xfId="0" applyBorder="1" applyAlignment="1">
      <alignment vertical="center" wrapText="1"/>
    </xf>
    <xf numFmtId="42" fontId="3" fillId="12" borderId="14" xfId="0" applyNumberFormat="1" applyFont="1" applyFill="1" applyBorder="1" applyAlignment="1">
      <alignment horizontal="center" vertical="center"/>
    </xf>
    <xf numFmtId="0" fontId="0" fillId="0" borderId="27" xfId="0" applyBorder="1" applyAlignment="1">
      <alignment vertical="center" wrapText="1"/>
    </xf>
    <xf numFmtId="42" fontId="10" fillId="17" borderId="0" xfId="0" applyNumberFormat="1" applyFont="1" applyFill="1" applyAlignment="1">
      <alignment horizontal="center" vertical="center"/>
    </xf>
    <xf numFmtId="42" fontId="10" fillId="17" borderId="14" xfId="0" applyNumberFormat="1" applyFont="1" applyFill="1" applyBorder="1" applyAlignment="1">
      <alignment horizontal="center" vertical="center"/>
    </xf>
    <xf numFmtId="42" fontId="3" fillId="12" borderId="55" xfId="0" applyNumberFormat="1" applyFont="1" applyFill="1" applyBorder="1" applyAlignment="1">
      <alignment horizontal="center" vertical="center"/>
    </xf>
    <xf numFmtId="42" fontId="32" fillId="14" borderId="24" xfId="0" applyNumberFormat="1" applyFont="1" applyFill="1" applyBorder="1" applyAlignment="1">
      <alignment horizontal="center" vertical="center"/>
    </xf>
    <xf numFmtId="42" fontId="3" fillId="15" borderId="48" xfId="0" applyNumberFormat="1" applyFont="1" applyFill="1" applyBorder="1" applyAlignment="1">
      <alignment horizontal="center" vertical="center"/>
    </xf>
    <xf numFmtId="42" fontId="2" fillId="14" borderId="48" xfId="0" applyNumberFormat="1" applyFont="1" applyFill="1" applyBorder="1" applyAlignment="1">
      <alignment horizontal="center" vertical="center"/>
    </xf>
    <xf numFmtId="44" fontId="0" fillId="15" borderId="76" xfId="0" applyNumberFormat="1" applyFill="1" applyBorder="1" applyAlignment="1">
      <alignment horizontal="center" vertical="center"/>
    </xf>
    <xf numFmtId="44" fontId="3" fillId="3" borderId="19" xfId="0" applyNumberFormat="1" applyFont="1" applyFill="1" applyBorder="1" applyAlignment="1">
      <alignment horizontal="center" vertical="center"/>
    </xf>
    <xf numFmtId="44" fontId="3" fillId="12" borderId="53" xfId="0" applyNumberFormat="1" applyFont="1" applyFill="1" applyBorder="1" applyAlignment="1">
      <alignment horizontal="center" vertical="center"/>
    </xf>
    <xf numFmtId="44" fontId="3" fillId="12" borderId="53" xfId="0" applyNumberFormat="1" applyFont="1" applyFill="1" applyBorder="1" applyAlignment="1">
      <alignment vertical="center"/>
    </xf>
    <xf numFmtId="44" fontId="3" fillId="12" borderId="54" xfId="0" applyNumberFormat="1" applyFont="1" applyFill="1" applyBorder="1" applyAlignment="1">
      <alignment vertical="center"/>
    </xf>
    <xf numFmtId="44" fontId="3" fillId="12" borderId="71" xfId="0" applyNumberFormat="1" applyFont="1" applyFill="1" applyBorder="1" applyAlignment="1">
      <alignment horizontal="center" vertical="center"/>
    </xf>
    <xf numFmtId="44" fontId="3" fillId="12" borderId="71" xfId="0" applyNumberFormat="1" applyFont="1" applyFill="1" applyBorder="1" applyAlignment="1">
      <alignment vertical="center"/>
    </xf>
    <xf numFmtId="44" fontId="3" fillId="12" borderId="46" xfId="0" applyNumberFormat="1" applyFont="1" applyFill="1" applyBorder="1" applyAlignment="1">
      <alignment vertical="center"/>
    </xf>
    <xf numFmtId="44" fontId="44" fillId="17" borderId="48" xfId="0" applyNumberFormat="1" applyFont="1" applyFill="1" applyBorder="1" applyAlignment="1">
      <alignment horizontal="center" vertical="center"/>
    </xf>
    <xf numFmtId="0" fontId="0" fillId="0" borderId="16" xfId="0" quotePrefix="1" applyBorder="1" applyAlignment="1">
      <alignment vertical="center" wrapText="1"/>
    </xf>
    <xf numFmtId="0" fontId="0" fillId="0" borderId="75" xfId="0" quotePrefix="1" applyBorder="1" applyAlignment="1">
      <alignment vertical="center" wrapText="1"/>
    </xf>
    <xf numFmtId="0" fontId="0" fillId="0" borderId="75" xfId="0" quotePrefix="1" applyBorder="1" applyAlignment="1">
      <alignment horizontal="left" vertical="center" wrapText="1"/>
    </xf>
    <xf numFmtId="0" fontId="0" fillId="0" borderId="1" xfId="0" quotePrefix="1" applyBorder="1" applyAlignment="1">
      <alignment horizontal="center" vertical="center" wrapText="1"/>
    </xf>
    <xf numFmtId="42" fontId="11" fillId="15" borderId="58" xfId="0" applyNumberFormat="1" applyFont="1" applyFill="1" applyBorder="1" applyAlignment="1">
      <alignment horizontal="center" vertical="center"/>
    </xf>
    <xf numFmtId="0" fontId="3" fillId="6" borderId="49" xfId="0" applyFont="1" applyFill="1" applyBorder="1" applyAlignment="1">
      <alignment horizontal="center" vertical="center"/>
    </xf>
    <xf numFmtId="0" fontId="27" fillId="6" borderId="22" xfId="0" applyFont="1" applyFill="1" applyBorder="1" applyAlignment="1">
      <alignment vertical="center" wrapText="1"/>
    </xf>
    <xf numFmtId="0" fontId="3" fillId="6" borderId="22" xfId="0" quotePrefix="1" applyFont="1" applyFill="1" applyBorder="1" applyAlignment="1">
      <alignment horizontal="center" vertical="center"/>
    </xf>
    <xf numFmtId="0" fontId="3" fillId="14" borderId="59" xfId="0" applyFont="1" applyFill="1" applyBorder="1" applyAlignment="1">
      <alignment horizontal="center" vertical="center"/>
    </xf>
    <xf numFmtId="0" fontId="3" fillId="14" borderId="25" xfId="0" quotePrefix="1" applyFont="1" applyFill="1" applyBorder="1" applyAlignment="1">
      <alignment horizontal="right" vertical="center" wrapText="1"/>
    </xf>
    <xf numFmtId="0" fontId="0" fillId="15" borderId="33" xfId="0" applyFill="1" applyBorder="1" applyAlignment="1">
      <alignment horizontal="center" vertical="center"/>
    </xf>
    <xf numFmtId="0" fontId="0" fillId="15" borderId="11" xfId="0" applyFill="1" applyBorder="1" applyAlignment="1">
      <alignment horizontal="left" vertical="center"/>
    </xf>
    <xf numFmtId="0" fontId="11" fillId="0" borderId="12" xfId="0" quotePrefix="1" applyFont="1" applyBorder="1" applyAlignment="1">
      <alignment horizontal="center" vertical="center"/>
    </xf>
    <xf numFmtId="0" fontId="0" fillId="22" borderId="24" xfId="0" applyFill="1" applyBorder="1" applyAlignment="1">
      <alignment horizontal="center"/>
    </xf>
    <xf numFmtId="42" fontId="3" fillId="22" borderId="52" xfId="0" applyNumberFormat="1" applyFont="1" applyFill="1" applyBorder="1" applyAlignment="1">
      <alignment horizontal="right"/>
    </xf>
    <xf numFmtId="42" fontId="0" fillId="22" borderId="24" xfId="0" applyNumberFormat="1" applyFill="1" applyBorder="1" applyAlignment="1">
      <alignment horizontal="center"/>
    </xf>
    <xf numFmtId="42" fontId="0" fillId="15" borderId="57" xfId="0" applyNumberFormat="1" applyFill="1" applyBorder="1" applyAlignment="1">
      <alignment horizontal="center"/>
    </xf>
    <xf numFmtId="42" fontId="3" fillId="15" borderId="29" xfId="0" applyNumberFormat="1" applyFont="1" applyFill="1" applyBorder="1" applyAlignment="1">
      <alignment horizontal="center"/>
    </xf>
    <xf numFmtId="42" fontId="5" fillId="22" borderId="9" xfId="0" quotePrefix="1" applyNumberFormat="1" applyFont="1" applyFill="1" applyBorder="1" applyAlignment="1">
      <alignment horizontal="left"/>
    </xf>
    <xf numFmtId="42" fontId="5" fillId="22" borderId="56" xfId="0" quotePrefix="1" applyNumberFormat="1" applyFont="1" applyFill="1" applyBorder="1" applyAlignment="1">
      <alignment horizontal="left"/>
    </xf>
    <xf numFmtId="42" fontId="5" fillId="22" borderId="54" xfId="0" quotePrefix="1" applyNumberFormat="1" applyFont="1" applyFill="1" applyBorder="1" applyAlignment="1">
      <alignment horizontal="left"/>
    </xf>
    <xf numFmtId="42" fontId="10" fillId="22" borderId="54" xfId="0" applyNumberFormat="1" applyFont="1" applyFill="1" applyBorder="1" applyAlignment="1">
      <alignment horizontal="left"/>
    </xf>
    <xf numFmtId="42" fontId="10" fillId="22" borderId="57" xfId="0" applyNumberFormat="1" applyFont="1" applyFill="1" applyBorder="1" applyAlignment="1">
      <alignment horizontal="left"/>
    </xf>
    <xf numFmtId="42" fontId="0" fillId="15" borderId="9" xfId="0" applyNumberFormat="1" applyFill="1" applyBorder="1"/>
    <xf numFmtId="42" fontId="0" fillId="15" borderId="26" xfId="0" applyNumberFormat="1" applyFill="1" applyBorder="1"/>
    <xf numFmtId="42" fontId="10" fillId="22" borderId="53" xfId="0" applyNumberFormat="1" applyFont="1" applyFill="1" applyBorder="1" applyAlignment="1">
      <alignment horizontal="left"/>
    </xf>
    <xf numFmtId="42" fontId="10" fillId="22" borderId="15" xfId="0" applyNumberFormat="1" applyFont="1" applyFill="1" applyBorder="1" applyAlignment="1">
      <alignment horizontal="left"/>
    </xf>
    <xf numFmtId="42" fontId="5" fillId="22" borderId="57" xfId="0" quotePrefix="1" applyNumberFormat="1" applyFont="1" applyFill="1" applyBorder="1" applyAlignment="1">
      <alignment horizontal="left"/>
    </xf>
    <xf numFmtId="42" fontId="5" fillId="22" borderId="26" xfId="0" quotePrefix="1" applyNumberFormat="1" applyFont="1" applyFill="1" applyBorder="1" applyAlignment="1">
      <alignment horizontal="left"/>
    </xf>
    <xf numFmtId="0" fontId="0" fillId="14" borderId="36" xfId="0" applyFill="1" applyBorder="1" applyAlignment="1">
      <alignment horizontal="center" vertical="center"/>
    </xf>
    <xf numFmtId="0" fontId="0" fillId="14" borderId="34" xfId="0" applyFill="1" applyBorder="1" applyAlignment="1">
      <alignment horizontal="center" vertical="center"/>
    </xf>
    <xf numFmtId="0" fontId="0" fillId="0" borderId="17" xfId="0" quotePrefix="1" applyBorder="1" applyAlignment="1">
      <alignment horizontal="center" vertical="center" wrapText="1"/>
    </xf>
    <xf numFmtId="0" fontId="3" fillId="6" borderId="36" xfId="0" applyFont="1" applyFill="1" applyBorder="1" applyAlignment="1">
      <alignment horizontal="center" vertical="center"/>
    </xf>
    <xf numFmtId="0" fontId="0" fillId="0" borderId="15" xfId="0" quotePrefix="1" applyBorder="1" applyAlignment="1">
      <alignment horizontal="center" vertical="center" wrapText="1"/>
    </xf>
    <xf numFmtId="0" fontId="0" fillId="0" borderId="9" xfId="0" quotePrefix="1" applyBorder="1" applyAlignment="1">
      <alignment horizontal="center" vertical="center" wrapText="1"/>
    </xf>
    <xf numFmtId="0" fontId="0" fillId="0" borderId="10" xfId="0" quotePrefix="1" applyBorder="1" applyAlignment="1">
      <alignment horizontal="center" vertical="center" wrapText="1"/>
    </xf>
    <xf numFmtId="0" fontId="0" fillId="0" borderId="3" xfId="0" quotePrefix="1" applyBorder="1" applyAlignment="1">
      <alignment horizontal="center" vertical="center" wrapText="1"/>
    </xf>
    <xf numFmtId="0" fontId="0" fillId="22" borderId="23" xfId="0" applyFill="1" applyBorder="1" applyAlignment="1">
      <alignment horizontal="center" vertical="center"/>
    </xf>
    <xf numFmtId="0" fontId="25" fillId="6" borderId="19" xfId="0" applyFont="1" applyFill="1" applyBorder="1" applyAlignment="1">
      <alignment horizontal="left" vertical="center" wrapText="1"/>
    </xf>
    <xf numFmtId="0" fontId="2" fillId="2" borderId="3" xfId="0" applyFont="1" applyFill="1" applyBorder="1" applyAlignment="1">
      <alignment horizontal="center" vertical="center"/>
    </xf>
    <xf numFmtId="0" fontId="0" fillId="20" borderId="3" xfId="0" applyFill="1" applyBorder="1" applyAlignment="1">
      <alignment horizontal="center" vertical="center"/>
    </xf>
    <xf numFmtId="0" fontId="0" fillId="6" borderId="23" xfId="0" applyFill="1" applyBorder="1" applyAlignment="1">
      <alignment horizontal="center" vertical="center"/>
    </xf>
    <xf numFmtId="0" fontId="0" fillId="0" borderId="24" xfId="0" applyBorder="1" applyAlignment="1">
      <alignment horizontal="center" vertical="center" wrapText="1"/>
    </xf>
    <xf numFmtId="0" fontId="0" fillId="14" borderId="23" xfId="0" applyFill="1" applyBorder="1" applyAlignment="1">
      <alignment horizontal="center" vertical="center"/>
    </xf>
    <xf numFmtId="0" fontId="0" fillId="6" borderId="14" xfId="0" applyFill="1" applyBorder="1" applyAlignment="1">
      <alignment horizontal="center" vertical="center"/>
    </xf>
    <xf numFmtId="0" fontId="0" fillId="14" borderId="14" xfId="0" applyFill="1" applyBorder="1" applyAlignment="1">
      <alignment horizontal="center" vertical="center"/>
    </xf>
    <xf numFmtId="0" fontId="0" fillId="4" borderId="15" xfId="0" applyFill="1" applyBorder="1" applyAlignment="1">
      <alignment horizontal="center" vertical="center"/>
    </xf>
    <xf numFmtId="0" fontId="0" fillId="4" borderId="9" xfId="0" applyFill="1" applyBorder="1" applyAlignment="1">
      <alignment horizontal="center" vertical="center"/>
    </xf>
    <xf numFmtId="0" fontId="0" fillId="4" borderId="26" xfId="0" applyFill="1" applyBorder="1" applyAlignment="1">
      <alignment horizontal="center" vertical="center"/>
    </xf>
    <xf numFmtId="0" fontId="5" fillId="0" borderId="26" xfId="0" applyFont="1" applyBorder="1" applyAlignment="1">
      <alignment horizontal="center" vertical="center"/>
    </xf>
    <xf numFmtId="0" fontId="0" fillId="6" borderId="24" xfId="0" applyFill="1" applyBorder="1" applyAlignment="1">
      <alignment horizontal="center" vertical="center"/>
    </xf>
    <xf numFmtId="0" fontId="0" fillId="4" borderId="10" xfId="0" applyFill="1" applyBorder="1" applyAlignment="1">
      <alignment horizontal="center" vertical="center"/>
    </xf>
    <xf numFmtId="0" fontId="5" fillId="0" borderId="10" xfId="0" applyFont="1" applyBorder="1" applyAlignment="1">
      <alignment horizontal="center" vertical="center"/>
    </xf>
    <xf numFmtId="0" fontId="62" fillId="14" borderId="23" xfId="0" applyFont="1" applyFill="1" applyBorder="1" applyAlignment="1">
      <alignment horizontal="center" vertical="center"/>
    </xf>
    <xf numFmtId="0" fontId="62" fillId="4" borderId="10" xfId="0" applyFont="1" applyFill="1" applyBorder="1" applyAlignment="1">
      <alignment horizontal="center" vertical="center"/>
    </xf>
    <xf numFmtId="0" fontId="0" fillId="15" borderId="15" xfId="0" applyFill="1" applyBorder="1" applyAlignment="1">
      <alignment horizontal="center" vertical="center"/>
    </xf>
    <xf numFmtId="0" fontId="0" fillId="15" borderId="9" xfId="0" applyFill="1" applyBorder="1" applyAlignment="1">
      <alignment horizontal="center" vertical="center" wrapText="1"/>
    </xf>
    <xf numFmtId="0" fontId="6" fillId="14" borderId="24" xfId="0" applyFont="1" applyFill="1" applyBorder="1" applyAlignment="1">
      <alignment horizontal="center" vertical="center"/>
    </xf>
    <xf numFmtId="0" fontId="6" fillId="3" borderId="3" xfId="0" applyFont="1" applyFill="1" applyBorder="1" applyAlignment="1">
      <alignment horizontal="center" vertical="center"/>
    </xf>
    <xf numFmtId="0" fontId="6" fillId="14" borderId="3" xfId="0" applyFont="1" applyFill="1" applyBorder="1" applyAlignment="1">
      <alignment horizontal="center" vertical="center"/>
    </xf>
    <xf numFmtId="0" fontId="0" fillId="3" borderId="23" xfId="0" applyFill="1" applyBorder="1" applyAlignment="1">
      <alignment horizontal="center" vertical="center"/>
    </xf>
    <xf numFmtId="0" fontId="6" fillId="0" borderId="9" xfId="0" applyFont="1" applyBorder="1" applyAlignment="1">
      <alignment horizontal="center" vertical="center"/>
    </xf>
    <xf numFmtId="0" fontId="6" fillId="3" borderId="23" xfId="0" applyFont="1" applyFill="1" applyBorder="1" applyAlignment="1">
      <alignment horizontal="center" vertical="center"/>
    </xf>
    <xf numFmtId="0" fontId="0" fillId="20" borderId="24" xfId="0" applyFill="1" applyBorder="1" applyAlignment="1">
      <alignment horizontal="center" vertical="center"/>
    </xf>
    <xf numFmtId="0" fontId="0" fillId="15" borderId="8" xfId="0" applyFill="1" applyBorder="1" applyAlignment="1">
      <alignment horizontal="center" vertical="center"/>
    </xf>
    <xf numFmtId="0" fontId="9" fillId="15" borderId="9" xfId="0" applyFont="1" applyFill="1" applyBorder="1" applyAlignment="1">
      <alignment horizontal="center" vertical="center" wrapText="1"/>
    </xf>
    <xf numFmtId="0" fontId="0" fillId="14" borderId="24" xfId="0" applyFill="1" applyBorder="1" applyAlignment="1">
      <alignment horizontal="center" vertical="center"/>
    </xf>
    <xf numFmtId="0" fontId="0" fillId="16" borderId="23" xfId="0" applyFill="1" applyBorder="1" applyAlignment="1">
      <alignment horizontal="center" vertical="center"/>
    </xf>
    <xf numFmtId="0" fontId="0" fillId="7" borderId="23" xfId="0" applyFill="1" applyBorder="1" applyAlignment="1">
      <alignment horizontal="center" vertical="center"/>
    </xf>
    <xf numFmtId="0" fontId="0" fillId="22" borderId="24" xfId="0" applyFill="1" applyBorder="1" applyAlignment="1">
      <alignment horizontal="center" vertical="center"/>
    </xf>
    <xf numFmtId="0" fontId="5" fillId="0" borderId="14" xfId="0" applyFont="1" applyBorder="1" applyAlignment="1">
      <alignment horizontal="center" vertical="center"/>
    </xf>
    <xf numFmtId="0" fontId="0" fillId="6" borderId="24" xfId="0" applyFill="1" applyBorder="1" applyAlignment="1">
      <alignment horizontal="centerContinuous" vertical="center"/>
    </xf>
    <xf numFmtId="0" fontId="0" fillId="22" borderId="8" xfId="0" quotePrefix="1" applyFill="1" applyBorder="1" applyAlignment="1">
      <alignment horizontal="center" vertical="center" wrapText="1"/>
    </xf>
    <xf numFmtId="0" fontId="0" fillId="22" borderId="9" xfId="0" quotePrefix="1" applyFill="1" applyBorder="1" applyAlignment="1">
      <alignment horizontal="center" vertical="center" wrapText="1"/>
    </xf>
    <xf numFmtId="0" fontId="0" fillId="22" borderId="9" xfId="0" quotePrefix="1" applyFill="1" applyBorder="1" applyAlignment="1">
      <alignment horizontal="center" wrapText="1"/>
    </xf>
    <xf numFmtId="0" fontId="0" fillId="22" borderId="26" xfId="0" quotePrefix="1" applyFill="1" applyBorder="1" applyAlignment="1">
      <alignment horizontal="center" vertical="center" wrapText="1"/>
    </xf>
    <xf numFmtId="42" fontId="0" fillId="12" borderId="71" xfId="0" applyNumberFormat="1" applyFill="1" applyBorder="1" applyAlignment="1">
      <alignment vertical="center"/>
    </xf>
    <xf numFmtId="42" fontId="0" fillId="12" borderId="15" xfId="0" applyNumberFormat="1" applyFill="1" applyBorder="1" applyAlignment="1">
      <alignment vertical="center"/>
    </xf>
    <xf numFmtId="42" fontId="0" fillId="12" borderId="69" xfId="0" applyNumberFormat="1" applyFill="1" applyBorder="1" applyAlignment="1">
      <alignment vertical="center"/>
    </xf>
    <xf numFmtId="42" fontId="0" fillId="12" borderId="46" xfId="0" applyNumberFormat="1" applyFill="1" applyBorder="1" applyAlignment="1">
      <alignment vertical="center"/>
    </xf>
    <xf numFmtId="42" fontId="0" fillId="12" borderId="58" xfId="0" applyNumberFormat="1" applyFill="1" applyBorder="1" applyAlignment="1">
      <alignment vertical="center"/>
    </xf>
    <xf numFmtId="42" fontId="0" fillId="12" borderId="9" xfId="0" applyNumberFormat="1" applyFill="1" applyBorder="1" applyAlignment="1">
      <alignment vertical="center"/>
    </xf>
    <xf numFmtId="42" fontId="0" fillId="12" borderId="47" xfId="0" applyNumberFormat="1" applyFill="1" applyBorder="1" applyAlignment="1">
      <alignment vertical="center"/>
    </xf>
    <xf numFmtId="42" fontId="0" fillId="12" borderId="26" xfId="0" applyNumberFormat="1" applyFill="1" applyBorder="1" applyAlignment="1">
      <alignment vertical="center"/>
    </xf>
    <xf numFmtId="42" fontId="0" fillId="12" borderId="32" xfId="0" applyNumberFormat="1" applyFill="1" applyBorder="1" applyAlignment="1">
      <alignment vertical="center"/>
    </xf>
    <xf numFmtId="0" fontId="0" fillId="10" borderId="19" xfId="0" applyFill="1" applyBorder="1"/>
    <xf numFmtId="0" fontId="0" fillId="10" borderId="28" xfId="0" applyFill="1" applyBorder="1"/>
    <xf numFmtId="6" fontId="0" fillId="15" borderId="15" xfId="0" applyNumberFormat="1" applyFill="1" applyBorder="1"/>
    <xf numFmtId="1" fontId="0" fillId="15" borderId="28" xfId="0" applyNumberFormat="1" applyFill="1" applyBorder="1" applyAlignment="1">
      <alignment horizontal="center"/>
    </xf>
    <xf numFmtId="175" fontId="0" fillId="0" borderId="64" xfId="0" applyNumberFormat="1" applyBorder="1" applyAlignment="1">
      <alignment horizontal="center"/>
    </xf>
    <xf numFmtId="0" fontId="0" fillId="0" borderId="42" xfId="0" applyBorder="1"/>
    <xf numFmtId="175" fontId="0" fillId="0" borderId="10" xfId="0" applyNumberFormat="1" applyBorder="1" applyAlignment="1">
      <alignment horizontal="center"/>
    </xf>
    <xf numFmtId="1" fontId="0" fillId="0" borderId="75" xfId="0" applyNumberFormat="1" applyBorder="1" applyAlignment="1">
      <alignment horizontal="center"/>
    </xf>
    <xf numFmtId="0" fontId="0" fillId="0" borderId="6" xfId="0" applyBorder="1"/>
    <xf numFmtId="0" fontId="44" fillId="17" borderId="23" xfId="0" applyFont="1" applyFill="1" applyBorder="1" applyAlignment="1">
      <alignment horizontal="center" vertical="center"/>
    </xf>
    <xf numFmtId="0" fontId="3" fillId="10" borderId="3" xfId="0" applyFont="1" applyFill="1" applyBorder="1"/>
    <xf numFmtId="0" fontId="0" fillId="10" borderId="48" xfId="0" applyFill="1" applyBorder="1" applyAlignment="1">
      <alignment horizontal="left"/>
    </xf>
    <xf numFmtId="0" fontId="0" fillId="0" borderId="22" xfId="0" quotePrefix="1" applyBorder="1" applyAlignment="1">
      <alignment vertical="center" wrapText="1"/>
    </xf>
    <xf numFmtId="0" fontId="9" fillId="0" borderId="50" xfId="0" quotePrefix="1" applyFont="1" applyBorder="1" applyAlignment="1">
      <alignment horizontal="left" vertical="center" wrapText="1"/>
    </xf>
    <xf numFmtId="42" fontId="5" fillId="0" borderId="74" xfId="0" applyNumberFormat="1" applyFont="1" applyBorder="1" applyAlignment="1">
      <alignment horizontal="centerContinuous" vertical="center"/>
    </xf>
    <xf numFmtId="0" fontId="9" fillId="0" borderId="30" xfId="0" applyFont="1" applyBorder="1" applyAlignment="1">
      <alignment horizontal="left" vertical="center" wrapText="1"/>
    </xf>
    <xf numFmtId="0" fontId="3" fillId="7" borderId="36" xfId="0" applyFont="1" applyFill="1" applyBorder="1" applyAlignment="1">
      <alignment horizontal="center" vertical="center"/>
    </xf>
    <xf numFmtId="0" fontId="3" fillId="14" borderId="25" xfId="0" applyFont="1" applyFill="1" applyBorder="1" applyAlignment="1">
      <alignment horizontal="right" vertical="center"/>
    </xf>
    <xf numFmtId="0" fontId="11" fillId="0" borderId="19" xfId="0" quotePrefix="1" applyFont="1" applyBorder="1" applyAlignment="1">
      <alignment horizontal="left" vertical="center" wrapText="1"/>
    </xf>
    <xf numFmtId="0" fontId="0" fillId="0" borderId="10" xfId="0" applyBorder="1" applyAlignment="1">
      <alignment vertical="center" wrapText="1"/>
    </xf>
    <xf numFmtId="44" fontId="0" fillId="17" borderId="24" xfId="0" applyNumberFormat="1" applyFill="1" applyBorder="1" applyAlignment="1">
      <alignment vertical="center"/>
    </xf>
    <xf numFmtId="0" fontId="9" fillId="0" borderId="0" xfId="0" quotePrefix="1" applyFont="1" applyAlignment="1">
      <alignment horizontal="left" vertical="center" wrapText="1"/>
    </xf>
    <xf numFmtId="0" fontId="3" fillId="20" borderId="79" xfId="0" applyFont="1" applyFill="1" applyBorder="1" applyAlignment="1">
      <alignment horizontal="center" vertical="center"/>
    </xf>
    <xf numFmtId="0" fontId="37" fillId="20" borderId="2" xfId="0" quotePrefix="1" applyFont="1" applyFill="1" applyBorder="1" applyAlignment="1">
      <alignment vertical="center" wrapText="1"/>
    </xf>
    <xf numFmtId="0" fontId="3" fillId="20" borderId="27" xfId="0" applyFont="1" applyFill="1" applyBorder="1" applyAlignment="1">
      <alignment horizontal="center" vertical="center"/>
    </xf>
    <xf numFmtId="42" fontId="3" fillId="20" borderId="0" xfId="0" applyNumberFormat="1" applyFont="1" applyFill="1" applyAlignment="1">
      <alignment horizontal="center" vertical="center"/>
    </xf>
    <xf numFmtId="0" fontId="24" fillId="20" borderId="0" xfId="0" quotePrefix="1" applyFont="1" applyFill="1" applyAlignment="1">
      <alignment horizontal="left" vertical="center" wrapText="1"/>
    </xf>
    <xf numFmtId="0" fontId="3" fillId="14" borderId="2" xfId="0" applyFont="1" applyFill="1" applyBorder="1" applyAlignment="1">
      <alignment horizontal="right" vertical="center"/>
    </xf>
    <xf numFmtId="0" fontId="9" fillId="14" borderId="0" xfId="0" applyFont="1" applyFill="1" applyAlignment="1">
      <alignment horizontal="left" vertical="center"/>
    </xf>
    <xf numFmtId="0" fontId="0" fillId="20" borderId="23" xfId="0" applyFill="1" applyBorder="1" applyAlignment="1">
      <alignment horizontal="center" vertical="center"/>
    </xf>
    <xf numFmtId="0" fontId="9" fillId="0" borderId="22" xfId="0" quotePrefix="1" applyFont="1" applyBorder="1" applyAlignment="1">
      <alignment horizontal="left" vertical="center" wrapText="1"/>
    </xf>
    <xf numFmtId="42" fontId="3" fillId="20" borderId="23" xfId="0" applyNumberFormat="1" applyFont="1" applyFill="1" applyBorder="1" applyAlignment="1">
      <alignment horizontal="center" vertical="center"/>
    </xf>
    <xf numFmtId="42" fontId="11" fillId="14" borderId="24" xfId="0" applyNumberFormat="1" applyFont="1" applyFill="1" applyBorder="1" applyAlignment="1">
      <alignment horizontal="center" vertical="center"/>
    </xf>
    <xf numFmtId="9" fontId="0" fillId="15" borderId="14" xfId="0" applyNumberFormat="1" applyFill="1" applyBorder="1" applyAlignment="1">
      <alignment horizontal="center"/>
    </xf>
    <xf numFmtId="42" fontId="11" fillId="0" borderId="14" xfId="0" applyNumberFormat="1" applyFont="1" applyBorder="1" applyAlignment="1">
      <alignment horizontal="center" vertical="center"/>
    </xf>
    <xf numFmtId="42" fontId="11" fillId="0" borderId="0" xfId="0" applyNumberFormat="1" applyFont="1" applyAlignment="1">
      <alignment horizontal="center" vertical="center"/>
    </xf>
    <xf numFmtId="0" fontId="2" fillId="4" borderId="4" xfId="0" quotePrefix="1" applyFont="1" applyFill="1" applyBorder="1" applyAlignment="1">
      <alignment vertical="center" wrapText="1"/>
    </xf>
    <xf numFmtId="0" fontId="0" fillId="4" borderId="3" xfId="0" applyFill="1" applyBorder="1"/>
    <xf numFmtId="42" fontId="3" fillId="4" borderId="19" xfId="0" applyNumberFormat="1" applyFont="1" applyFill="1" applyBorder="1" applyAlignment="1">
      <alignment horizontal="center" vertical="center"/>
    </xf>
    <xf numFmtId="0" fontId="9" fillId="4" borderId="19" xfId="0" quotePrefix="1" applyFont="1" applyFill="1" applyBorder="1" applyAlignment="1">
      <alignment horizontal="left" vertical="center" wrapText="1"/>
    </xf>
    <xf numFmtId="42" fontId="11" fillId="4" borderId="3" xfId="0" applyNumberFormat="1" applyFont="1" applyFill="1" applyBorder="1" applyAlignment="1">
      <alignment horizontal="center" vertical="center" wrapText="1"/>
    </xf>
    <xf numFmtId="42" fontId="11" fillId="4" borderId="19" xfId="0" applyNumberFormat="1" applyFont="1" applyFill="1" applyBorder="1" applyAlignment="1">
      <alignment horizontal="center" vertical="center" wrapText="1"/>
    </xf>
    <xf numFmtId="0" fontId="3" fillId="0" borderId="60" xfId="0" applyFont="1" applyBorder="1" applyAlignment="1">
      <alignment horizontal="center" vertical="center"/>
    </xf>
    <xf numFmtId="0" fontId="0" fillId="0" borderId="61" xfId="0" quotePrefix="1" applyBorder="1" applyAlignment="1">
      <alignment vertical="center" wrapText="1"/>
    </xf>
    <xf numFmtId="42" fontId="11" fillId="15" borderId="23" xfId="0" applyNumberFormat="1" applyFont="1" applyFill="1" applyBorder="1" applyAlignment="1">
      <alignment horizontal="center" vertical="center" wrapText="1"/>
    </xf>
    <xf numFmtId="42" fontId="11" fillId="15" borderId="22" xfId="0" applyNumberFormat="1" applyFont="1" applyFill="1" applyBorder="1" applyAlignment="1">
      <alignment horizontal="center" vertical="center" wrapText="1"/>
    </xf>
    <xf numFmtId="0" fontId="27" fillId="0" borderId="61" xfId="0" quotePrefix="1" applyFont="1" applyBorder="1" applyAlignment="1">
      <alignment vertical="center" wrapText="1"/>
    </xf>
    <xf numFmtId="42" fontId="11" fillId="15" borderId="23" xfId="0" applyNumberFormat="1" applyFont="1" applyFill="1" applyBorder="1" applyAlignment="1">
      <alignment horizontal="center" vertical="center"/>
    </xf>
    <xf numFmtId="42" fontId="11" fillId="15" borderId="22" xfId="0" applyNumberFormat="1" applyFont="1" applyFill="1" applyBorder="1" applyAlignment="1">
      <alignment horizontal="center" vertical="center"/>
    </xf>
    <xf numFmtId="0" fontId="25" fillId="0" borderId="22" xfId="0" quotePrefix="1" applyFont="1" applyBorder="1" applyAlignment="1">
      <alignment horizontal="left" vertical="center" wrapText="1"/>
    </xf>
    <xf numFmtId="42" fontId="11" fillId="22" borderId="14" xfId="0" applyNumberFormat="1" applyFont="1" applyFill="1" applyBorder="1" applyAlignment="1">
      <alignment horizontal="center" vertical="center"/>
    </xf>
    <xf numFmtId="42" fontId="3" fillId="12" borderId="19" xfId="0" applyNumberFormat="1" applyFont="1" applyFill="1" applyBorder="1" applyAlignment="1">
      <alignment horizontal="center" vertical="center"/>
    </xf>
    <xf numFmtId="0" fontId="9" fillId="0" borderId="28" xfId="0" applyFont="1" applyBorder="1" applyAlignment="1">
      <alignment horizontal="left" vertical="center" wrapText="1"/>
    </xf>
    <xf numFmtId="42" fontId="3" fillId="15" borderId="56" xfId="0" applyNumberFormat="1" applyFont="1" applyFill="1" applyBorder="1" applyAlignment="1">
      <alignment horizontal="center" vertical="center"/>
    </xf>
    <xf numFmtId="42" fontId="3" fillId="12" borderId="54" xfId="0" applyNumberFormat="1" applyFont="1" applyFill="1" applyBorder="1" applyAlignment="1">
      <alignment horizontal="center" vertical="center"/>
    </xf>
    <xf numFmtId="42" fontId="3" fillId="12" borderId="57" xfId="0" applyNumberFormat="1" applyFont="1" applyFill="1" applyBorder="1" applyAlignment="1">
      <alignment horizontal="center" vertical="center"/>
    </xf>
    <xf numFmtId="0" fontId="9" fillId="0" borderId="56" xfId="0" quotePrefix="1" applyFont="1" applyBorder="1" applyAlignment="1">
      <alignment horizontal="left" vertical="center" wrapText="1"/>
    </xf>
    <xf numFmtId="42" fontId="3" fillId="12" borderId="46" xfId="0" applyNumberFormat="1" applyFont="1" applyFill="1" applyBorder="1" applyAlignment="1">
      <alignment horizontal="center" vertical="center"/>
    </xf>
    <xf numFmtId="0" fontId="0" fillId="0" borderId="57" xfId="0" applyBorder="1" applyAlignment="1">
      <alignment vertical="center"/>
    </xf>
    <xf numFmtId="0" fontId="0" fillId="0" borderId="51" xfId="0" applyBorder="1" applyAlignment="1">
      <alignment horizontal="left" vertical="center"/>
    </xf>
    <xf numFmtId="44" fontId="0" fillId="17" borderId="14" xfId="0" applyNumberFormat="1" applyFill="1" applyBorder="1" applyAlignment="1">
      <alignment vertical="center"/>
    </xf>
    <xf numFmtId="170" fontId="3" fillId="12" borderId="10" xfId="0" applyNumberFormat="1" applyFont="1" applyFill="1" applyBorder="1" applyAlignment="1">
      <alignment horizontal="center" vertical="center"/>
    </xf>
    <xf numFmtId="9" fontId="3" fillId="12" borderId="15" xfId="0" applyNumberFormat="1" applyFont="1" applyFill="1" applyBorder="1" applyAlignment="1">
      <alignment horizontal="center" vertical="center"/>
    </xf>
    <xf numFmtId="170" fontId="0" fillId="15" borderId="3" xfId="0" applyNumberFormat="1" applyFill="1" applyBorder="1" applyAlignment="1">
      <alignment horizontal="center" vertical="center"/>
    </xf>
    <xf numFmtId="0" fontId="11" fillId="0" borderId="51" xfId="0" applyFont="1" applyBorder="1" applyAlignment="1">
      <alignment horizontal="center" vertical="center"/>
    </xf>
    <xf numFmtId="44" fontId="44" fillId="17" borderId="8" xfId="0" applyNumberFormat="1" applyFont="1" applyFill="1" applyBorder="1" applyAlignment="1">
      <alignment horizontal="center" vertical="center"/>
    </xf>
    <xf numFmtId="44" fontId="44" fillId="17" borderId="26" xfId="0" applyNumberFormat="1" applyFont="1" applyFill="1" applyBorder="1" applyAlignment="1">
      <alignment horizontal="center" vertical="center"/>
    </xf>
    <xf numFmtId="44" fontId="3" fillId="0" borderId="8" xfId="0" applyNumberFormat="1" applyFont="1" applyBorder="1" applyAlignment="1">
      <alignment vertical="center"/>
    </xf>
    <xf numFmtId="44" fontId="3" fillId="0" borderId="45" xfId="0" applyNumberFormat="1" applyFont="1" applyBorder="1" applyAlignment="1">
      <alignment vertical="center"/>
    </xf>
    <xf numFmtId="44" fontId="11" fillId="0" borderId="10" xfId="0" applyNumberFormat="1" applyFont="1" applyBorder="1" applyAlignment="1">
      <alignment vertical="center"/>
    </xf>
    <xf numFmtId="44" fontId="11" fillId="0" borderId="76" xfId="0" applyNumberFormat="1" applyFont="1" applyBorder="1" applyAlignment="1">
      <alignment vertical="center"/>
    </xf>
    <xf numFmtId="0" fontId="11" fillId="0" borderId="26" xfId="0" applyFont="1" applyBorder="1" applyAlignment="1">
      <alignment horizontal="center" vertical="center"/>
    </xf>
    <xf numFmtId="0" fontId="11" fillId="0" borderId="47" xfId="0" applyFont="1" applyBorder="1" applyAlignment="1">
      <alignment horizontal="center" vertical="center"/>
    </xf>
    <xf numFmtId="44" fontId="11" fillId="0" borderId="15" xfId="0" applyNumberFormat="1" applyFont="1" applyBorder="1" applyAlignment="1">
      <alignment vertical="center"/>
    </xf>
    <xf numFmtId="44" fontId="11" fillId="0" borderId="71" xfId="0" applyNumberFormat="1" applyFont="1" applyBorder="1" applyAlignment="1">
      <alignment vertical="center"/>
    </xf>
    <xf numFmtId="44" fontId="11" fillId="0" borderId="9" xfId="0" applyNumberFormat="1" applyFont="1" applyBorder="1" applyAlignment="1">
      <alignment vertical="center"/>
    </xf>
    <xf numFmtId="44" fontId="11" fillId="0" borderId="46" xfId="0" applyNumberFormat="1" applyFont="1" applyBorder="1" applyAlignment="1">
      <alignment vertical="center"/>
    </xf>
    <xf numFmtId="44" fontId="3" fillId="0" borderId="26" xfId="0" applyNumberFormat="1" applyFont="1" applyBorder="1" applyAlignment="1">
      <alignment vertical="center"/>
    </xf>
    <xf numFmtId="44" fontId="3" fillId="0" borderId="47" xfId="0" applyNumberFormat="1" applyFont="1" applyBorder="1" applyAlignment="1">
      <alignment vertical="center"/>
    </xf>
    <xf numFmtId="165" fontId="9" fillId="0" borderId="33" xfId="0" applyNumberFormat="1" applyFont="1" applyBorder="1" applyAlignment="1">
      <alignment horizontal="center" vertical="center"/>
    </xf>
    <xf numFmtId="165" fontId="9" fillId="0" borderId="11" xfId="0" applyNumberFormat="1" applyFont="1" applyBorder="1" applyAlignment="1">
      <alignment horizontal="center" vertical="center"/>
    </xf>
    <xf numFmtId="165" fontId="9" fillId="0" borderId="12" xfId="0" applyNumberFormat="1" applyFont="1" applyBorder="1" applyAlignment="1">
      <alignment horizontal="center" vertical="center"/>
    </xf>
    <xf numFmtId="165" fontId="9" fillId="0" borderId="13" xfId="0" applyNumberFormat="1" applyFont="1" applyBorder="1" applyAlignment="1">
      <alignment horizontal="center" vertical="center"/>
    </xf>
    <xf numFmtId="44" fontId="44" fillId="17" borderId="19" xfId="0" applyNumberFormat="1" applyFont="1" applyFill="1" applyBorder="1" applyAlignment="1">
      <alignment horizontal="center" vertical="center"/>
    </xf>
    <xf numFmtId="0" fontId="0" fillId="3" borderId="19" xfId="0" applyFill="1" applyBorder="1" applyAlignment="1">
      <alignment vertical="center"/>
    </xf>
    <xf numFmtId="0" fontId="0" fillId="0" borderId="76" xfId="0" applyBorder="1" applyAlignment="1">
      <alignment vertical="center"/>
    </xf>
    <xf numFmtId="0" fontId="0" fillId="0" borderId="71" xfId="0" applyBorder="1" applyAlignment="1">
      <alignment vertical="center"/>
    </xf>
    <xf numFmtId="42" fontId="9" fillId="22" borderId="11" xfId="0" applyNumberFormat="1" applyFont="1" applyFill="1" applyBorder="1" applyAlignment="1">
      <alignment horizontal="center" vertical="center"/>
    </xf>
    <xf numFmtId="42" fontId="9" fillId="22" borderId="1" xfId="0" applyNumberFormat="1" applyFont="1" applyFill="1" applyBorder="1" applyAlignment="1">
      <alignment horizontal="center" vertical="center"/>
    </xf>
    <xf numFmtId="42" fontId="9" fillId="22" borderId="20" xfId="0" applyNumberFormat="1" applyFont="1" applyFill="1" applyBorder="1" applyAlignment="1">
      <alignment horizontal="center" vertical="center"/>
    </xf>
    <xf numFmtId="0" fontId="0" fillId="3" borderId="28" xfId="0" applyFill="1" applyBorder="1" applyAlignment="1">
      <alignment vertical="center"/>
    </xf>
    <xf numFmtId="0" fontId="73" fillId="0" borderId="0" xfId="2" applyFont="1" applyFill="1" applyBorder="1" applyAlignment="1">
      <alignment horizontal="left" vertical="center"/>
    </xf>
    <xf numFmtId="42" fontId="0" fillId="15" borderId="58" xfId="0" applyNumberFormat="1" applyFill="1" applyBorder="1" applyAlignment="1">
      <alignment horizontal="center" vertical="center"/>
    </xf>
    <xf numFmtId="42" fontId="0" fillId="0" borderId="32" xfId="0" applyNumberFormat="1" applyBorder="1" applyAlignment="1">
      <alignment horizontal="center" vertical="center"/>
    </xf>
    <xf numFmtId="44" fontId="0" fillId="15" borderId="58" xfId="0" applyNumberFormat="1" applyFill="1" applyBorder="1" applyAlignment="1">
      <alignment horizontal="center" vertical="center"/>
    </xf>
    <xf numFmtId="44" fontId="0" fillId="0" borderId="72" xfId="0" applyNumberFormat="1" applyBorder="1" applyAlignment="1">
      <alignment horizontal="center" vertical="center"/>
    </xf>
    <xf numFmtId="44" fontId="0" fillId="0" borderId="10" xfId="0" applyNumberFormat="1" applyBorder="1" applyAlignment="1">
      <alignment horizontal="center" vertical="center"/>
    </xf>
    <xf numFmtId="44" fontId="9" fillId="15" borderId="58" xfId="0" applyNumberFormat="1" applyFont="1" applyFill="1" applyBorder="1" applyAlignment="1">
      <alignment horizontal="center" vertical="center"/>
    </xf>
    <xf numFmtId="44" fontId="11" fillId="3" borderId="32" xfId="0" applyNumberFormat="1" applyFont="1" applyFill="1" applyBorder="1" applyAlignment="1">
      <alignment horizontal="center" vertical="center"/>
    </xf>
    <xf numFmtId="44" fontId="9" fillId="15" borderId="15" xfId="0" applyNumberFormat="1" applyFont="1" applyFill="1" applyBorder="1" applyAlignment="1">
      <alignment horizontal="center" vertical="center"/>
    </xf>
    <xf numFmtId="44" fontId="9" fillId="15" borderId="9" xfId="0" applyNumberFormat="1" applyFont="1" applyFill="1" applyBorder="1" applyAlignment="1">
      <alignment horizontal="center" vertical="center"/>
    </xf>
    <xf numFmtId="44" fontId="11" fillId="3" borderId="26" xfId="0" applyNumberFormat="1" applyFont="1" applyFill="1" applyBorder="1" applyAlignment="1">
      <alignment horizontal="center" vertical="center"/>
    </xf>
    <xf numFmtId="0" fontId="0" fillId="22" borderId="56" xfId="0" applyFill="1" applyBorder="1" applyAlignment="1">
      <alignment horizontal="center" vertical="center"/>
    </xf>
    <xf numFmtId="10" fontId="9" fillId="0" borderId="54" xfId="0" applyNumberFormat="1" applyFont="1" applyBorder="1" applyAlignment="1">
      <alignment horizontal="center" vertical="center"/>
    </xf>
    <xf numFmtId="168" fontId="9" fillId="0" borderId="59" xfId="0" applyNumberFormat="1" applyFont="1" applyBorder="1" applyAlignment="1">
      <alignment horizontal="center" vertical="center"/>
    </xf>
    <xf numFmtId="168" fontId="9" fillId="0" borderId="63" xfId="0" applyNumberFormat="1" applyFont="1" applyBorder="1" applyAlignment="1">
      <alignment horizontal="center" vertical="center"/>
    </xf>
    <xf numFmtId="168" fontId="9" fillId="15" borderId="54" xfId="0" applyNumberFormat="1" applyFont="1" applyFill="1" applyBorder="1" applyAlignment="1">
      <alignment horizontal="center" vertical="center"/>
    </xf>
    <xf numFmtId="168" fontId="91" fillId="0" borderId="9" xfId="0" applyNumberFormat="1" applyFont="1" applyBorder="1" applyAlignment="1">
      <alignment horizontal="center" vertical="center"/>
    </xf>
    <xf numFmtId="0" fontId="62" fillId="14" borderId="22" xfId="0" applyFont="1" applyFill="1" applyBorder="1" applyAlignment="1">
      <alignment horizontal="left" vertical="center" wrapText="1"/>
    </xf>
    <xf numFmtId="0" fontId="11" fillId="0" borderId="37" xfId="0" quotePrefix="1" applyFont="1" applyBorder="1" applyAlignment="1">
      <alignment horizontal="center" vertical="center"/>
    </xf>
    <xf numFmtId="42" fontId="11" fillId="0" borderId="9" xfId="0" applyNumberFormat="1" applyFont="1" applyBorder="1" applyAlignment="1">
      <alignment horizontal="center" vertical="center"/>
    </xf>
    <xf numFmtId="42" fontId="11" fillId="0" borderId="46" xfId="0" applyNumberFormat="1" applyFont="1" applyBorder="1" applyAlignment="1">
      <alignment horizontal="center" vertical="center"/>
    </xf>
    <xf numFmtId="0" fontId="19" fillId="0" borderId="1" xfId="0" applyFont="1" applyBorder="1" applyAlignment="1">
      <alignment vertical="center" wrapText="1"/>
    </xf>
    <xf numFmtId="44" fontId="5" fillId="0" borderId="9" xfId="0" applyNumberFormat="1" applyFont="1" applyBorder="1" applyAlignment="1">
      <alignment vertical="center"/>
    </xf>
    <xf numFmtId="44" fontId="5" fillId="0" borderId="46" xfId="0" applyNumberFormat="1" applyFont="1" applyBorder="1" applyAlignment="1">
      <alignment vertical="center"/>
    </xf>
    <xf numFmtId="44" fontId="9" fillId="0" borderId="36" xfId="0" applyNumberFormat="1" applyFont="1" applyBorder="1" applyAlignment="1">
      <alignment horizontal="center" vertical="center"/>
    </xf>
    <xf numFmtId="44" fontId="15" fillId="2" borderId="14" xfId="0" applyNumberFormat="1" applyFont="1" applyFill="1" applyBorder="1" applyAlignment="1">
      <alignment horizontal="center" vertical="center" wrapText="1"/>
    </xf>
    <xf numFmtId="44" fontId="0" fillId="15" borderId="56" xfId="0" applyNumberFormat="1" applyFill="1" applyBorder="1" applyAlignment="1">
      <alignment vertical="center"/>
    </xf>
    <xf numFmtId="44" fontId="0" fillId="15" borderId="57" xfId="0" applyNumberFormat="1" applyFill="1" applyBorder="1" applyAlignment="1">
      <alignment vertical="center"/>
    </xf>
    <xf numFmtId="0" fontId="0" fillId="0" borderId="72" xfId="0" applyBorder="1"/>
    <xf numFmtId="44" fontId="11" fillId="2" borderId="40" xfId="0" applyNumberFormat="1" applyFont="1" applyFill="1" applyBorder="1" applyAlignment="1">
      <alignment horizontal="center" vertical="center"/>
    </xf>
    <xf numFmtId="44" fontId="9" fillId="0" borderId="41" xfId="0" applyNumberFormat="1" applyFont="1" applyBorder="1" applyAlignment="1">
      <alignment vertical="center"/>
    </xf>
    <xf numFmtId="44" fontId="9" fillId="0" borderId="37" xfId="0" applyNumberFormat="1" applyFont="1" applyBorder="1" applyAlignment="1">
      <alignment vertical="center"/>
    </xf>
    <xf numFmtId="44" fontId="9" fillId="0" borderId="34" xfId="0" applyNumberFormat="1" applyFont="1" applyBorder="1" applyAlignment="1">
      <alignment horizontal="center" vertical="center"/>
    </xf>
    <xf numFmtId="44" fontId="3" fillId="2" borderId="40" xfId="0" applyNumberFormat="1" applyFont="1" applyFill="1" applyBorder="1" applyAlignment="1">
      <alignment horizontal="center" vertical="center"/>
    </xf>
    <xf numFmtId="44" fontId="9" fillId="0" borderId="41" xfId="0" applyNumberFormat="1" applyFont="1" applyBorder="1" applyAlignment="1">
      <alignment horizontal="center" vertical="center"/>
    </xf>
    <xf numFmtId="44" fontId="9" fillId="0" borderId="37" xfId="0" applyNumberFormat="1" applyFont="1" applyBorder="1" applyAlignment="1">
      <alignment horizontal="center" vertical="center"/>
    </xf>
    <xf numFmtId="44" fontId="0" fillId="15" borderId="64" xfId="0" applyNumberFormat="1" applyFill="1" applyBorder="1" applyAlignment="1">
      <alignment horizontal="center" vertical="center"/>
    </xf>
    <xf numFmtId="44" fontId="9" fillId="0" borderId="42" xfId="0" applyNumberFormat="1" applyFont="1" applyBorder="1" applyAlignment="1">
      <alignment horizontal="center" vertical="center"/>
    </xf>
    <xf numFmtId="44" fontId="9" fillId="0" borderId="64" xfId="0" applyNumberFormat="1" applyFont="1" applyBorder="1" applyAlignment="1">
      <alignment horizontal="center" vertical="center"/>
    </xf>
    <xf numFmtId="44" fontId="9" fillId="0" borderId="40" xfId="0" applyNumberFormat="1" applyFont="1" applyBorder="1" applyAlignment="1">
      <alignment horizontal="center" vertical="center"/>
    </xf>
    <xf numFmtId="164" fontId="9" fillId="15" borderId="69" xfId="0" applyNumberFormat="1" applyFont="1" applyFill="1" applyBorder="1" applyAlignment="1">
      <alignment horizontal="center" vertical="center"/>
    </xf>
    <xf numFmtId="164" fontId="9" fillId="0" borderId="58" xfId="0" applyNumberFormat="1" applyFont="1" applyBorder="1" applyAlignment="1">
      <alignment horizontal="center" vertical="center"/>
    </xf>
    <xf numFmtId="164" fontId="9" fillId="0" borderId="72" xfId="0" applyNumberFormat="1" applyFont="1" applyBorder="1" applyAlignment="1">
      <alignment horizontal="center" vertical="center"/>
    </xf>
    <xf numFmtId="0" fontId="9" fillId="0" borderId="28" xfId="0" applyFont="1" applyBorder="1" applyAlignment="1">
      <alignment horizontal="center" vertical="center"/>
    </xf>
    <xf numFmtId="164" fontId="9" fillId="15" borderId="15" xfId="0" applyNumberFormat="1" applyFont="1" applyFill="1" applyBorder="1" applyAlignment="1">
      <alignment horizontal="center" vertical="center"/>
    </xf>
    <xf numFmtId="164" fontId="9" fillId="0" borderId="9" xfId="0" applyNumberFormat="1" applyFont="1" applyBorder="1" applyAlignment="1">
      <alignment horizontal="center" vertical="center"/>
    </xf>
    <xf numFmtId="164" fontId="9" fillId="0" borderId="10" xfId="0" applyNumberFormat="1" applyFont="1" applyBorder="1" applyAlignment="1">
      <alignment horizontal="center" vertical="center"/>
    </xf>
    <xf numFmtId="10" fontId="9" fillId="0" borderId="3" xfId="0" applyNumberFormat="1" applyFont="1" applyBorder="1" applyAlignment="1">
      <alignment horizontal="center" vertical="center"/>
    </xf>
    <xf numFmtId="0" fontId="11" fillId="2" borderId="40" xfId="0" applyFont="1" applyFill="1" applyBorder="1" applyAlignment="1">
      <alignment horizontal="center" vertical="center"/>
    </xf>
    <xf numFmtId="0" fontId="11" fillId="2" borderId="28" xfId="0" applyFont="1" applyFill="1" applyBorder="1" applyAlignment="1">
      <alignment horizontal="center" vertical="center"/>
    </xf>
    <xf numFmtId="0" fontId="11" fillId="2" borderId="3" xfId="0" applyFont="1" applyFill="1" applyBorder="1" applyAlignment="1">
      <alignment horizontal="center" vertical="center"/>
    </xf>
    <xf numFmtId="44" fontId="0" fillId="15" borderId="64" xfId="0" applyNumberFormat="1" applyFill="1" applyBorder="1" applyAlignment="1">
      <alignment vertical="center"/>
    </xf>
    <xf numFmtId="44" fontId="9" fillId="0" borderId="42" xfId="0" applyNumberFormat="1" applyFont="1" applyBorder="1" applyAlignment="1">
      <alignment vertical="center"/>
    </xf>
    <xf numFmtId="44" fontId="0" fillId="15" borderId="36" xfId="0" applyNumberFormat="1" applyFill="1" applyBorder="1" applyAlignment="1">
      <alignment vertical="center"/>
    </xf>
    <xf numFmtId="44" fontId="9" fillId="0" borderId="40" xfId="0" applyNumberFormat="1" applyFont="1" applyBorder="1" applyAlignment="1">
      <alignment vertical="center"/>
    </xf>
    <xf numFmtId="0" fontId="0" fillId="22" borderId="46" xfId="0" applyFill="1" applyBorder="1" applyAlignment="1">
      <alignment vertical="top" wrapText="1"/>
    </xf>
    <xf numFmtId="0" fontId="0" fillId="0" borderId="47" xfId="0" quotePrefix="1" applyBorder="1" applyAlignment="1">
      <alignment vertical="top" wrapText="1"/>
    </xf>
    <xf numFmtId="44" fontId="0" fillId="15" borderId="54" xfId="0" applyNumberFormat="1" applyFill="1" applyBorder="1" applyAlignment="1">
      <alignment vertical="center"/>
    </xf>
    <xf numFmtId="0" fontId="0" fillId="0" borderId="9" xfId="0" applyBorder="1" applyAlignment="1">
      <alignment vertical="center"/>
    </xf>
    <xf numFmtId="44" fontId="46" fillId="0" borderId="26" xfId="0" applyNumberFormat="1" applyFont="1" applyBorder="1" applyAlignment="1">
      <alignment vertical="center"/>
    </xf>
    <xf numFmtId="44" fontId="9" fillId="0" borderId="9" xfId="0" applyNumberFormat="1" applyFont="1" applyBorder="1" applyAlignment="1">
      <alignment vertical="center"/>
    </xf>
    <xf numFmtId="0" fontId="3" fillId="10" borderId="3" xfId="0" applyFont="1" applyFill="1" applyBorder="1" applyAlignment="1">
      <alignment horizontal="center"/>
    </xf>
    <xf numFmtId="0" fontId="3" fillId="12" borderId="8" xfId="0" applyFont="1" applyFill="1" applyBorder="1" applyAlignment="1">
      <alignment horizontal="left" vertical="center"/>
    </xf>
    <xf numFmtId="167" fontId="3" fillId="2" borderId="44" xfId="0" applyNumberFormat="1" applyFont="1" applyFill="1" applyBorder="1" applyAlignment="1">
      <alignment horizontal="center" vertical="center"/>
    </xf>
    <xf numFmtId="0" fontId="0" fillId="12" borderId="53" xfId="0" applyFill="1" applyBorder="1" applyAlignment="1">
      <alignment horizontal="center" vertical="center"/>
    </xf>
    <xf numFmtId="0" fontId="3" fillId="2" borderId="24" xfId="0" applyFont="1" applyFill="1" applyBorder="1" applyAlignment="1">
      <alignment horizontal="center" vertical="center"/>
    </xf>
    <xf numFmtId="9" fontId="0" fillId="0" borderId="0" xfId="0" applyNumberFormat="1" applyAlignment="1">
      <alignment horizontal="center"/>
    </xf>
    <xf numFmtId="44" fontId="0" fillId="15" borderId="73" xfId="0" applyNumberFormat="1" applyFill="1" applyBorder="1" applyAlignment="1">
      <alignment horizontal="left"/>
    </xf>
    <xf numFmtId="44" fontId="0" fillId="15" borderId="68" xfId="0" applyNumberFormat="1" applyFill="1" applyBorder="1" applyAlignment="1">
      <alignment horizontal="left"/>
    </xf>
    <xf numFmtId="42" fontId="27" fillId="2" borderId="3" xfId="0" applyNumberFormat="1" applyFont="1" applyFill="1" applyBorder="1" applyAlignment="1">
      <alignment horizontal="left" vertical="center"/>
    </xf>
    <xf numFmtId="0" fontId="0" fillId="7" borderId="48" xfId="0" applyFill="1" applyBorder="1"/>
    <xf numFmtId="0" fontId="0" fillId="7" borderId="19" xfId="0" applyFill="1" applyBorder="1"/>
    <xf numFmtId="0" fontId="0" fillId="15" borderId="54" xfId="0" applyFill="1" applyBorder="1"/>
    <xf numFmtId="0" fontId="0" fillId="15" borderId="46" xfId="0" applyFill="1" applyBorder="1"/>
    <xf numFmtId="0" fontId="3" fillId="7" borderId="36" xfId="0" applyFont="1" applyFill="1" applyBorder="1"/>
    <xf numFmtId="0" fontId="3" fillId="7" borderId="4" xfId="0" applyFont="1" applyFill="1" applyBorder="1"/>
    <xf numFmtId="0" fontId="3" fillId="7" borderId="40" xfId="0" applyFont="1" applyFill="1" applyBorder="1"/>
    <xf numFmtId="0" fontId="9" fillId="15" borderId="53" xfId="0" applyFont="1" applyFill="1" applyBorder="1"/>
    <xf numFmtId="0" fontId="9" fillId="15" borderId="71" xfId="0" applyFont="1" applyFill="1" applyBorder="1"/>
    <xf numFmtId="0" fontId="0" fillId="15" borderId="53" xfId="0" applyFill="1" applyBorder="1"/>
    <xf numFmtId="0" fontId="0" fillId="15" borderId="71" xfId="0" applyFill="1" applyBorder="1"/>
    <xf numFmtId="0" fontId="0" fillId="15" borderId="55" xfId="0" applyFill="1" applyBorder="1"/>
    <xf numFmtId="0" fontId="0" fillId="15" borderId="76" xfId="0" applyFill="1" applyBorder="1"/>
    <xf numFmtId="0" fontId="3" fillId="7" borderId="48" xfId="0" applyFont="1" applyFill="1" applyBorder="1"/>
    <xf numFmtId="0" fontId="3" fillId="7" borderId="19" xfId="0" applyFont="1" applyFill="1" applyBorder="1"/>
    <xf numFmtId="0" fontId="2" fillId="2" borderId="40" xfId="0" applyFont="1" applyFill="1" applyBorder="1"/>
    <xf numFmtId="0" fontId="0" fillId="0" borderId="19" xfId="0" applyBorder="1"/>
    <xf numFmtId="0" fontId="41" fillId="0" borderId="48" xfId="0" quotePrefix="1" applyFont="1" applyBorder="1" applyAlignment="1">
      <alignment horizontal="left"/>
    </xf>
    <xf numFmtId="0" fontId="0" fillId="0" borderId="19" xfId="0" applyBorder="1" applyAlignment="1">
      <alignment horizontal="left"/>
    </xf>
    <xf numFmtId="0" fontId="0" fillId="0" borderId="28" xfId="0" applyBorder="1" applyAlignment="1">
      <alignment horizontal="left"/>
    </xf>
    <xf numFmtId="0" fontId="41" fillId="0" borderId="48" xfId="0" applyFont="1" applyBorder="1" applyAlignment="1">
      <alignment horizontal="left"/>
    </xf>
    <xf numFmtId="0" fontId="0" fillId="15" borderId="34" xfId="0" applyFill="1" applyBorder="1"/>
    <xf numFmtId="0" fontId="0" fillId="15" borderId="1" xfId="0" applyFill="1" applyBorder="1"/>
    <xf numFmtId="0" fontId="0" fillId="15" borderId="37" xfId="0" applyFill="1" applyBorder="1"/>
    <xf numFmtId="0" fontId="0" fillId="15" borderId="47" xfId="0" applyFill="1" applyBorder="1"/>
    <xf numFmtId="0" fontId="0" fillId="15" borderId="68" xfId="0" applyFill="1" applyBorder="1"/>
    <xf numFmtId="0" fontId="3" fillId="14" borderId="25" xfId="0" applyFont="1" applyFill="1" applyBorder="1" applyAlignment="1">
      <alignment horizontal="right"/>
    </xf>
    <xf numFmtId="0" fontId="0" fillId="14" borderId="25" xfId="0" applyFill="1" applyBorder="1"/>
    <xf numFmtId="0" fontId="3" fillId="3" borderId="40" xfId="0" applyFont="1" applyFill="1" applyBorder="1" applyAlignment="1">
      <alignment horizontal="right"/>
    </xf>
    <xf numFmtId="0" fontId="3" fillId="3" borderId="19" xfId="0" applyFont="1" applyFill="1" applyBorder="1" applyAlignment="1">
      <alignment horizontal="right"/>
    </xf>
    <xf numFmtId="0" fontId="3" fillId="3" borderId="70" xfId="0" applyFont="1" applyFill="1" applyBorder="1" applyAlignment="1">
      <alignment horizontal="right"/>
    </xf>
    <xf numFmtId="0" fontId="0" fillId="15" borderId="64" xfId="0" applyFill="1" applyBorder="1"/>
    <xf numFmtId="0" fontId="0" fillId="15" borderId="6" xfId="0" applyFill="1" applyBorder="1"/>
    <xf numFmtId="0" fontId="0" fillId="15" borderId="42" xfId="0" applyFill="1" applyBorder="1"/>
    <xf numFmtId="0" fontId="0" fillId="15" borderId="33" xfId="0" applyFill="1" applyBorder="1"/>
    <xf numFmtId="0" fontId="0" fillId="15" borderId="11" xfId="0" applyFill="1" applyBorder="1"/>
    <xf numFmtId="0" fontId="0" fillId="15" borderId="38" xfId="0" applyFill="1" applyBorder="1"/>
    <xf numFmtId="0" fontId="0" fillId="15" borderId="57" xfId="0" applyFill="1" applyBorder="1" applyAlignment="1">
      <alignment horizontal="left"/>
    </xf>
    <xf numFmtId="0" fontId="0" fillId="15" borderId="47" xfId="0" applyFill="1" applyBorder="1" applyAlignment="1">
      <alignment horizontal="left"/>
    </xf>
    <xf numFmtId="0" fontId="3" fillId="2" borderId="48" xfId="0" applyFont="1" applyFill="1" applyBorder="1" applyAlignment="1">
      <alignment horizontal="right"/>
    </xf>
    <xf numFmtId="0" fontId="0" fillId="0" borderId="28" xfId="0" applyBorder="1" applyAlignment="1">
      <alignment horizontal="right"/>
    </xf>
    <xf numFmtId="42" fontId="43" fillId="15" borderId="48" xfId="0" applyNumberFormat="1" applyFont="1" applyFill="1" applyBorder="1" applyAlignment="1">
      <alignment horizontal="left"/>
    </xf>
    <xf numFmtId="0" fontId="43" fillId="15" borderId="28" xfId="0" applyFont="1" applyFill="1" applyBorder="1" applyAlignment="1">
      <alignment horizontal="left"/>
    </xf>
    <xf numFmtId="0" fontId="86" fillId="14" borderId="36" xfId="0" applyFont="1" applyFill="1" applyBorder="1" applyAlignment="1">
      <alignment horizontal="right"/>
    </xf>
    <xf numFmtId="0" fontId="86" fillId="14" borderId="4" xfId="0" applyFont="1" applyFill="1" applyBorder="1" applyAlignment="1">
      <alignment horizontal="right"/>
    </xf>
    <xf numFmtId="0" fontId="31" fillId="15" borderId="33" xfId="0" applyFont="1" applyFill="1" applyBorder="1" applyAlignment="1">
      <alignment horizontal="right"/>
    </xf>
    <xf numFmtId="0" fontId="31" fillId="15" borderId="11" xfId="0" applyFont="1" applyFill="1" applyBorder="1" applyAlignment="1">
      <alignment horizontal="right"/>
    </xf>
    <xf numFmtId="0" fontId="7" fillId="2" borderId="36" xfId="0" applyFont="1" applyFill="1" applyBorder="1" applyAlignment="1">
      <alignment horizontal="center"/>
    </xf>
    <xf numFmtId="0" fontId="29" fillId="0" borderId="4" xfId="0" applyFont="1" applyBorder="1" applyAlignment="1">
      <alignment horizontal="center"/>
    </xf>
    <xf numFmtId="0" fontId="31" fillId="15" borderId="34" xfId="0" applyFont="1" applyFill="1" applyBorder="1" applyAlignment="1">
      <alignment horizontal="right"/>
    </xf>
    <xf numFmtId="0" fontId="31" fillId="15" borderId="1" xfId="0" applyFont="1" applyFill="1" applyBorder="1" applyAlignment="1">
      <alignment horizontal="right"/>
    </xf>
    <xf numFmtId="0" fontId="31" fillId="15" borderId="35" xfId="0" applyFont="1" applyFill="1" applyBorder="1" applyAlignment="1">
      <alignment horizontal="right"/>
    </xf>
    <xf numFmtId="0" fontId="31" fillId="15" borderId="20" xfId="0" applyFont="1" applyFill="1" applyBorder="1" applyAlignment="1">
      <alignment horizontal="right"/>
    </xf>
    <xf numFmtId="0" fontId="86" fillId="3" borderId="36" xfId="0" applyFont="1" applyFill="1" applyBorder="1" applyAlignment="1">
      <alignment horizontal="right"/>
    </xf>
    <xf numFmtId="0" fontId="86" fillId="3" borderId="4" xfId="0" applyFont="1" applyFill="1" applyBorder="1" applyAlignment="1">
      <alignment horizontal="right"/>
    </xf>
    <xf numFmtId="0" fontId="0" fillId="15" borderId="16" xfId="0" applyFill="1" applyBorder="1"/>
    <xf numFmtId="0" fontId="0" fillId="15" borderId="7" xfId="0" applyFill="1" applyBorder="1"/>
    <xf numFmtId="0" fontId="89" fillId="22" borderId="23" xfId="0" applyFont="1" applyFill="1" applyBorder="1" applyAlignment="1">
      <alignment horizontal="center" vertical="center" textRotation="90"/>
    </xf>
    <xf numFmtId="0" fontId="89" fillId="22" borderId="24" xfId="0" applyFont="1" applyFill="1" applyBorder="1" applyAlignment="1">
      <alignment horizontal="center" vertical="center" textRotation="90"/>
    </xf>
    <xf numFmtId="0" fontId="0" fillId="19" borderId="56" xfId="0" applyFill="1" applyBorder="1" applyAlignment="1">
      <alignment horizontal="left" vertical="center" wrapText="1"/>
    </xf>
    <xf numFmtId="0" fontId="0" fillId="0" borderId="31" xfId="0" applyBorder="1" applyAlignment="1">
      <alignment wrapText="1"/>
    </xf>
    <xf numFmtId="0" fontId="0" fillId="19" borderId="57" xfId="0" applyFill="1" applyBorder="1" applyAlignment="1">
      <alignment horizontal="left" vertical="center" wrapText="1"/>
    </xf>
    <xf numFmtId="0" fontId="0" fillId="0" borderId="32" xfId="0" applyBorder="1" applyAlignment="1">
      <alignment wrapText="1"/>
    </xf>
    <xf numFmtId="0" fontId="31" fillId="0" borderId="19" xfId="0" applyFont="1" applyBorder="1" applyAlignment="1">
      <alignment wrapText="1"/>
    </xf>
    <xf numFmtId="0" fontId="31" fillId="0" borderId="28" xfId="0" applyFont="1" applyBorder="1" applyAlignment="1">
      <alignment wrapText="1"/>
    </xf>
    <xf numFmtId="0" fontId="39" fillId="0" borderId="48" xfId="0" applyFont="1" applyBorder="1" applyAlignment="1">
      <alignment vertical="center" wrapText="1"/>
    </xf>
    <xf numFmtId="0" fontId="39" fillId="0" borderId="28" xfId="0" applyFont="1" applyBorder="1"/>
    <xf numFmtId="0" fontId="29" fillId="6" borderId="48" xfId="0" applyFont="1" applyFill="1" applyBorder="1"/>
    <xf numFmtId="0" fontId="0" fillId="0" borderId="28" xfId="0" applyBorder="1"/>
    <xf numFmtId="0" fontId="9" fillId="0" borderId="22" xfId="0" quotePrefix="1" applyFont="1" applyBorder="1" applyAlignment="1">
      <alignment horizontal="left" vertical="center" wrapText="1"/>
    </xf>
    <xf numFmtId="0" fontId="0" fillId="0" borderId="0" xfId="0" applyAlignment="1">
      <alignment horizontal="left" vertical="center" wrapText="1"/>
    </xf>
    <xf numFmtId="0" fontId="0" fillId="0" borderId="52" xfId="0" applyBorder="1" applyAlignment="1">
      <alignment horizontal="left" vertical="center" wrapText="1"/>
    </xf>
    <xf numFmtId="0" fontId="44" fillId="17" borderId="23" xfId="0" applyFont="1" applyFill="1" applyBorder="1" applyAlignment="1">
      <alignment horizontal="center" vertical="center"/>
    </xf>
    <xf numFmtId="0" fontId="0" fillId="0" borderId="14" xfId="0" applyBorder="1" applyAlignment="1">
      <alignment horizontal="center" vertical="center"/>
    </xf>
    <xf numFmtId="0" fontId="0" fillId="0" borderId="24" xfId="0" applyBorder="1" applyAlignment="1">
      <alignment horizontal="center" vertical="center"/>
    </xf>
    <xf numFmtId="42" fontId="33" fillId="17" borderId="45" xfId="0" applyNumberFormat="1" applyFont="1" applyFill="1" applyBorder="1" applyAlignment="1">
      <alignment horizontal="center" vertical="center"/>
    </xf>
    <xf numFmtId="42" fontId="0" fillId="0" borderId="46" xfId="0" applyNumberFormat="1" applyBorder="1" applyAlignment="1">
      <alignment horizontal="center" vertical="center"/>
    </xf>
    <xf numFmtId="42" fontId="0" fillId="0" borderId="47" xfId="0" applyNumberFormat="1" applyBorder="1" applyAlignment="1">
      <alignment horizontal="center" vertical="center"/>
    </xf>
    <xf numFmtId="42" fontId="33" fillId="17" borderId="8" xfId="0" applyNumberFormat="1" applyFont="1" applyFill="1" applyBorder="1" applyAlignment="1">
      <alignment horizontal="center" vertical="center"/>
    </xf>
    <xf numFmtId="42" fontId="0" fillId="0" borderId="9" xfId="0" applyNumberFormat="1" applyBorder="1" applyAlignment="1">
      <alignment horizontal="center" vertical="center"/>
    </xf>
    <xf numFmtId="42" fontId="0" fillId="0" borderId="26" xfId="0" applyNumberFormat="1" applyBorder="1" applyAlignment="1">
      <alignment horizontal="center" vertical="center"/>
    </xf>
    <xf numFmtId="42" fontId="33" fillId="17" borderId="23" xfId="0" applyNumberFormat="1" applyFont="1" applyFill="1" applyBorder="1" applyAlignment="1">
      <alignment horizontal="center" vertical="center"/>
    </xf>
    <xf numFmtId="0" fontId="33" fillId="17" borderId="23" xfId="0" applyFont="1" applyFill="1" applyBorder="1" applyAlignment="1">
      <alignment horizontal="center" vertical="center"/>
    </xf>
    <xf numFmtId="0" fontId="3" fillId="17" borderId="14" xfId="0" applyFont="1" applyFill="1" applyBorder="1" applyAlignment="1">
      <alignment horizontal="center" vertical="center"/>
    </xf>
    <xf numFmtId="0" fontId="3" fillId="17" borderId="24" xfId="0" applyFont="1" applyFill="1" applyBorder="1" applyAlignment="1">
      <alignment horizontal="center" vertical="center"/>
    </xf>
    <xf numFmtId="0" fontId="9" fillId="22" borderId="44" xfId="0" applyFont="1" applyFill="1" applyBorder="1" applyAlignment="1">
      <alignment horizontal="left" vertical="center" wrapText="1"/>
    </xf>
    <xf numFmtId="0" fontId="0" fillId="22" borderId="44" xfId="0" applyFill="1" applyBorder="1" applyAlignment="1">
      <alignment horizontal="left" vertical="center" wrapText="1"/>
    </xf>
    <xf numFmtId="42" fontId="33" fillId="17" borderId="71" xfId="0" applyNumberFormat="1" applyFont="1" applyFill="1" applyBorder="1" applyAlignment="1">
      <alignment horizontal="center" vertical="center"/>
    </xf>
    <xf numFmtId="42" fontId="44" fillId="0" borderId="46" xfId="0" applyNumberFormat="1" applyFont="1" applyBorder="1" applyAlignment="1">
      <alignment horizontal="center" vertical="center"/>
    </xf>
    <xf numFmtId="42" fontId="44" fillId="0" borderId="47" xfId="0" applyNumberFormat="1" applyFont="1" applyBorder="1" applyAlignment="1">
      <alignment horizontal="center" vertical="center"/>
    </xf>
    <xf numFmtId="42" fontId="33" fillId="17" borderId="15" xfId="0" applyNumberFormat="1" applyFont="1" applyFill="1" applyBorder="1" applyAlignment="1">
      <alignment horizontal="center" vertical="center"/>
    </xf>
    <xf numFmtId="42" fontId="44" fillId="0" borderId="9" xfId="0" applyNumberFormat="1" applyFont="1" applyBorder="1" applyAlignment="1">
      <alignment horizontal="center" vertical="center"/>
    </xf>
    <xf numFmtId="42" fontId="44" fillId="0" borderId="26" xfId="0" applyNumberFormat="1" applyFont="1" applyBorder="1" applyAlignment="1">
      <alignment horizontal="center" vertical="center"/>
    </xf>
    <xf numFmtId="42" fontId="44" fillId="0" borderId="76" xfId="0" applyNumberFormat="1" applyFont="1" applyBorder="1" applyAlignment="1">
      <alignment horizontal="center" vertical="center"/>
    </xf>
    <xf numFmtId="42" fontId="44" fillId="0" borderId="10" xfId="0" applyNumberFormat="1" applyFont="1" applyBorder="1" applyAlignment="1">
      <alignment horizontal="center" vertical="center"/>
    </xf>
    <xf numFmtId="42" fontId="33" fillId="17" borderId="10" xfId="0" applyNumberFormat="1" applyFont="1" applyFill="1" applyBorder="1" applyAlignment="1">
      <alignment horizontal="center" vertical="center"/>
    </xf>
    <xf numFmtId="0" fontId="33" fillId="17" borderId="24" xfId="0" applyFont="1" applyFill="1" applyBorder="1" applyAlignment="1">
      <alignment horizontal="center" vertical="center"/>
    </xf>
    <xf numFmtId="0" fontId="3" fillId="15" borderId="1" xfId="0" applyFont="1" applyFill="1" applyBorder="1" applyAlignment="1">
      <alignment horizontal="right" vertical="center"/>
    </xf>
    <xf numFmtId="0" fontId="0" fillId="15" borderId="1" xfId="0" applyFill="1" applyBorder="1" applyAlignment="1">
      <alignment vertical="center"/>
    </xf>
    <xf numFmtId="42" fontId="3" fillId="14" borderId="1" xfId="0" applyNumberFormat="1" applyFont="1" applyFill="1" applyBorder="1" applyAlignment="1">
      <alignment horizontal="right" vertical="center"/>
    </xf>
    <xf numFmtId="0" fontId="0" fillId="14" borderId="1" xfId="0" applyFill="1" applyBorder="1" applyAlignment="1">
      <alignment vertical="center"/>
    </xf>
    <xf numFmtId="42" fontId="32" fillId="0" borderId="1" xfId="0" applyNumberFormat="1" applyFont="1" applyBorder="1" applyAlignment="1">
      <alignment horizontal="left" vertical="center"/>
    </xf>
    <xf numFmtId="0" fontId="46" fillId="0" borderId="1" xfId="0" applyFont="1" applyBorder="1" applyAlignment="1">
      <alignment horizontal="left" vertical="center"/>
    </xf>
    <xf numFmtId="42" fontId="33" fillId="17" borderId="46" xfId="0" applyNumberFormat="1" applyFont="1" applyFill="1" applyBorder="1" applyAlignment="1">
      <alignment horizontal="center" vertical="center"/>
    </xf>
    <xf numFmtId="42" fontId="33" fillId="17" borderId="9" xfId="0" applyNumberFormat="1" applyFont="1" applyFill="1" applyBorder="1" applyAlignment="1">
      <alignment horizontal="center" vertical="center"/>
    </xf>
    <xf numFmtId="42" fontId="0" fillId="0" borderId="10" xfId="0" applyNumberFormat="1" applyBorder="1" applyAlignment="1">
      <alignment horizontal="center" vertical="center"/>
    </xf>
    <xf numFmtId="42" fontId="0" fillId="0" borderId="76" xfId="0" applyNumberFormat="1" applyBorder="1" applyAlignment="1">
      <alignment horizontal="center" vertical="center"/>
    </xf>
    <xf numFmtId="42" fontId="33" fillId="17" borderId="49" xfId="0" applyNumberFormat="1" applyFont="1" applyFill="1" applyBorder="1" applyAlignment="1">
      <alignment horizontal="center" vertical="center"/>
    </xf>
    <xf numFmtId="0" fontId="0" fillId="0" borderId="44" xfId="0" applyBorder="1" applyAlignment="1">
      <alignment horizontal="center" vertical="center"/>
    </xf>
    <xf numFmtId="0" fontId="0" fillId="0" borderId="44" xfId="0" applyBorder="1" applyAlignment="1">
      <alignment vertical="center"/>
    </xf>
    <xf numFmtId="0" fontId="0" fillId="0" borderId="51" xfId="0" applyBorder="1" applyAlignment="1">
      <alignment vertical="center"/>
    </xf>
    <xf numFmtId="0" fontId="33" fillId="17" borderId="30" xfId="0" applyFont="1" applyFill="1" applyBorder="1" applyAlignment="1">
      <alignment horizontal="center" vertical="center"/>
    </xf>
    <xf numFmtId="0" fontId="3" fillId="0" borderId="29" xfId="0" applyFont="1" applyBorder="1" applyAlignment="1">
      <alignment horizontal="center" vertical="center"/>
    </xf>
    <xf numFmtId="0" fontId="3" fillId="0" borderId="30" xfId="0" applyFont="1" applyBorder="1" applyAlignment="1">
      <alignment horizontal="center" vertical="center"/>
    </xf>
    <xf numFmtId="0" fontId="3" fillId="23" borderId="48" xfId="0" applyFont="1" applyFill="1" applyBorder="1" applyAlignment="1">
      <alignment horizontal="center" vertical="center"/>
    </xf>
    <xf numFmtId="0" fontId="3" fillId="23" borderId="28" xfId="0" applyFont="1" applyFill="1" applyBorder="1" applyAlignment="1">
      <alignment vertical="center"/>
    </xf>
    <xf numFmtId="0" fontId="3" fillId="2" borderId="8" xfId="0" applyFont="1" applyFill="1" applyBorder="1" applyAlignment="1">
      <alignment horizontal="center" vertical="center" wrapText="1"/>
    </xf>
    <xf numFmtId="0" fontId="3" fillId="2" borderId="26" xfId="0" applyFont="1" applyFill="1" applyBorder="1" applyAlignment="1">
      <alignment horizontal="center" vertical="center" wrapText="1"/>
    </xf>
    <xf numFmtId="0" fontId="3" fillId="2" borderId="56" xfId="0" applyFont="1" applyFill="1" applyBorder="1" applyAlignment="1">
      <alignment horizontal="center" vertical="center" wrapText="1"/>
    </xf>
    <xf numFmtId="0" fontId="3" fillId="2" borderId="57" xfId="0" applyFont="1" applyFill="1" applyBorder="1" applyAlignment="1">
      <alignment horizontal="center" vertical="center" wrapText="1"/>
    </xf>
    <xf numFmtId="0" fontId="3" fillId="2" borderId="45" xfId="0" applyFont="1" applyFill="1" applyBorder="1" applyAlignment="1">
      <alignment horizontal="center" vertical="center" wrapText="1"/>
    </xf>
    <xf numFmtId="0" fontId="3" fillId="2" borderId="47" xfId="0" applyFont="1" applyFill="1" applyBorder="1" applyAlignment="1">
      <alignment horizontal="center" vertical="center" wrapText="1"/>
    </xf>
    <xf numFmtId="44" fontId="3" fillId="2" borderId="48" xfId="0" applyNumberFormat="1" applyFont="1" applyFill="1" applyBorder="1" applyAlignment="1">
      <alignment horizontal="center" vertical="center"/>
    </xf>
    <xf numFmtId="0" fontId="0" fillId="0" borderId="28" xfId="0" applyBorder="1" applyAlignment="1">
      <alignment horizontal="center" vertical="center"/>
    </xf>
    <xf numFmtId="0" fontId="3" fillId="23" borderId="22" xfId="0" applyFont="1" applyFill="1" applyBorder="1" applyAlignment="1">
      <alignment horizontal="center" vertical="center"/>
    </xf>
    <xf numFmtId="0" fontId="3" fillId="23" borderId="50" xfId="0" applyFont="1" applyFill="1" applyBorder="1" applyAlignment="1">
      <alignment vertical="center"/>
    </xf>
    <xf numFmtId="0" fontId="3" fillId="2" borderId="14" xfId="0" applyFont="1" applyFill="1" applyBorder="1" applyAlignment="1">
      <alignment horizontal="center" vertical="center" wrapText="1"/>
    </xf>
    <xf numFmtId="0" fontId="3" fillId="2" borderId="23" xfId="0" applyFont="1" applyFill="1" applyBorder="1" applyAlignment="1">
      <alignment horizontal="center" vertical="center" wrapText="1"/>
    </xf>
    <xf numFmtId="0" fontId="3" fillId="2" borderId="24" xfId="0" applyFont="1" applyFill="1" applyBorder="1" applyAlignment="1">
      <alignment horizontal="center" vertical="center" wrapText="1"/>
    </xf>
    <xf numFmtId="0" fontId="0" fillId="0" borderId="34" xfId="0" applyBorder="1" applyAlignment="1">
      <alignment vertical="center"/>
    </xf>
    <xf numFmtId="0" fontId="0" fillId="0" borderId="1" xfId="0" applyBorder="1" applyAlignment="1">
      <alignment vertical="center"/>
    </xf>
    <xf numFmtId="0" fontId="0" fillId="0" borderId="13" xfId="0" applyBorder="1" applyAlignment="1">
      <alignment vertical="center"/>
    </xf>
    <xf numFmtId="0" fontId="3" fillId="2" borderId="48" xfId="0" applyFont="1" applyFill="1" applyBorder="1" applyAlignment="1">
      <alignment vertical="center"/>
    </xf>
    <xf numFmtId="0" fontId="3" fillId="2" borderId="19" xfId="0" applyFont="1" applyFill="1" applyBorder="1" applyAlignment="1">
      <alignment vertical="center"/>
    </xf>
    <xf numFmtId="0" fontId="3" fillId="2" borderId="28" xfId="0" applyFont="1" applyFill="1" applyBorder="1" applyAlignment="1">
      <alignment vertical="center"/>
    </xf>
    <xf numFmtId="0" fontId="3" fillId="2" borderId="51" xfId="0" applyFont="1" applyFill="1" applyBorder="1" applyAlignment="1">
      <alignment horizontal="center" vertical="center" wrapText="1"/>
    </xf>
    <xf numFmtId="0" fontId="3" fillId="2" borderId="48" xfId="0" applyFont="1" applyFill="1" applyBorder="1" applyAlignment="1">
      <alignment horizontal="center" vertical="center"/>
    </xf>
    <xf numFmtId="0" fontId="11" fillId="23" borderId="48" xfId="0" applyFont="1" applyFill="1" applyBorder="1" applyAlignment="1">
      <alignment horizontal="center" vertical="center"/>
    </xf>
    <xf numFmtId="0" fontId="11" fillId="23" borderId="28" xfId="0" applyFont="1" applyFill="1" applyBorder="1" applyAlignment="1">
      <alignment horizontal="center" vertical="center"/>
    </xf>
    <xf numFmtId="0" fontId="3" fillId="23" borderId="48" xfId="0" applyFont="1" applyFill="1" applyBorder="1" applyAlignment="1">
      <alignment horizontal="center" vertical="center" wrapText="1"/>
    </xf>
    <xf numFmtId="0" fontId="3" fillId="23" borderId="28" xfId="0" applyFont="1" applyFill="1" applyBorder="1" applyAlignment="1">
      <alignment horizontal="center" vertical="center" wrapText="1"/>
    </xf>
    <xf numFmtId="0" fontId="22" fillId="0" borderId="49" xfId="0" applyFont="1" applyBorder="1" applyAlignment="1">
      <alignment vertical="center"/>
    </xf>
    <xf numFmtId="0" fontId="2" fillId="0" borderId="22" xfId="0" applyFont="1" applyBorder="1" applyAlignment="1">
      <alignment vertical="center"/>
    </xf>
    <xf numFmtId="0" fontId="2" fillId="0" borderId="50" xfId="0" applyFont="1" applyBorder="1" applyAlignment="1">
      <alignment vertical="center"/>
    </xf>
    <xf numFmtId="0" fontId="0" fillId="0" borderId="43" xfId="0" applyBorder="1" applyAlignment="1">
      <alignment horizontal="right" vertical="center"/>
    </xf>
    <xf numFmtId="0" fontId="0" fillId="0" borderId="41" xfId="0" applyBorder="1" applyAlignment="1">
      <alignment vertical="center"/>
    </xf>
    <xf numFmtId="0" fontId="20" fillId="0" borderId="44" xfId="0" applyFont="1" applyBorder="1" applyAlignment="1">
      <alignment vertical="center"/>
    </xf>
    <xf numFmtId="0" fontId="0" fillId="0" borderId="0" xfId="0" applyAlignment="1">
      <alignment vertical="center"/>
    </xf>
    <xf numFmtId="0" fontId="0" fillId="0" borderId="30" xfId="0" applyBorder="1" applyAlignment="1">
      <alignment vertical="center"/>
    </xf>
    <xf numFmtId="0" fontId="3" fillId="14" borderId="48" xfId="0" applyFont="1" applyFill="1" applyBorder="1" applyAlignment="1">
      <alignment horizontal="center" vertical="center"/>
    </xf>
    <xf numFmtId="0" fontId="3" fillId="14" borderId="19" xfId="0" applyFont="1" applyFill="1" applyBorder="1" applyAlignment="1">
      <alignment horizontal="center" vertical="center"/>
    </xf>
    <xf numFmtId="0" fontId="3" fillId="14" borderId="52" xfId="0" applyFont="1" applyFill="1" applyBorder="1" applyAlignment="1">
      <alignment horizontal="center" vertical="center"/>
    </xf>
    <xf numFmtId="0" fontId="3" fillId="2" borderId="77" xfId="0" applyFont="1" applyFill="1" applyBorder="1" applyAlignment="1">
      <alignment vertical="center"/>
    </xf>
    <xf numFmtId="0" fontId="3" fillId="2" borderId="61" xfId="0" applyFont="1" applyFill="1" applyBorder="1" applyAlignment="1">
      <alignment vertical="center"/>
    </xf>
    <xf numFmtId="0" fontId="3" fillId="2" borderId="62" xfId="0" applyFont="1" applyFill="1" applyBorder="1" applyAlignment="1">
      <alignment vertical="center"/>
    </xf>
    <xf numFmtId="0" fontId="0" fillId="0" borderId="33" xfId="0" applyBorder="1" applyAlignment="1">
      <alignment vertical="center"/>
    </xf>
    <xf numFmtId="0" fontId="0" fillId="0" borderId="11" xfId="0" applyBorder="1" applyAlignment="1">
      <alignment vertical="center"/>
    </xf>
    <xf numFmtId="0" fontId="0" fillId="0" borderId="12" xfId="0" applyBorder="1" applyAlignment="1">
      <alignment vertical="center"/>
    </xf>
    <xf numFmtId="0" fontId="11" fillId="5" borderId="48" xfId="0" applyFont="1" applyFill="1" applyBorder="1" applyAlignment="1">
      <alignment horizontal="center" vertical="center"/>
    </xf>
    <xf numFmtId="0" fontId="11" fillId="5" borderId="19" xfId="0" applyFont="1" applyFill="1" applyBorder="1" applyAlignment="1">
      <alignment horizontal="center" vertical="center"/>
    </xf>
    <xf numFmtId="0" fontId="11" fillId="5" borderId="28" xfId="0" applyFont="1" applyFill="1" applyBorder="1" applyAlignment="1">
      <alignment horizontal="center" vertical="center"/>
    </xf>
    <xf numFmtId="0" fontId="11" fillId="3" borderId="48" xfId="0" applyFont="1" applyFill="1" applyBorder="1" applyAlignment="1">
      <alignment horizontal="right" vertical="center"/>
    </xf>
    <xf numFmtId="0" fontId="9" fillId="3" borderId="19" xfId="0" applyFont="1" applyFill="1" applyBorder="1" applyAlignment="1">
      <alignment horizontal="right" vertical="center"/>
    </xf>
    <xf numFmtId="0" fontId="9" fillId="3" borderId="28" xfId="0" applyFont="1" applyFill="1" applyBorder="1" applyAlignment="1">
      <alignment horizontal="right" vertical="center"/>
    </xf>
    <xf numFmtId="0" fontId="11" fillId="2" borderId="36" xfId="0" applyFont="1" applyFill="1" applyBorder="1" applyAlignment="1">
      <alignment horizontal="right" vertical="center"/>
    </xf>
    <xf numFmtId="0" fontId="9" fillId="2" borderId="5" xfId="0" applyFont="1" applyFill="1" applyBorder="1" applyAlignment="1">
      <alignment vertical="center"/>
    </xf>
    <xf numFmtId="0" fontId="9" fillId="0" borderId="19" xfId="0" applyFont="1" applyBorder="1" applyAlignment="1">
      <alignment horizontal="right" vertical="center"/>
    </xf>
    <xf numFmtId="0" fontId="3" fillId="3" borderId="48" xfId="0" applyFont="1" applyFill="1" applyBorder="1" applyAlignment="1">
      <alignment horizontal="right" vertical="center"/>
    </xf>
    <xf numFmtId="0" fontId="3" fillId="0" borderId="19" xfId="0" applyFont="1" applyBorder="1" applyAlignment="1">
      <alignment horizontal="right" vertical="center"/>
    </xf>
    <xf numFmtId="0" fontId="3" fillId="2" borderId="48" xfId="0" applyFont="1" applyFill="1" applyBorder="1" applyAlignment="1">
      <alignment horizontal="right" vertical="center"/>
    </xf>
    <xf numFmtId="0" fontId="3" fillId="2" borderId="28" xfId="0" applyFont="1" applyFill="1" applyBorder="1" applyAlignment="1">
      <alignment horizontal="right" vertical="center"/>
    </xf>
    <xf numFmtId="0" fontId="22" fillId="14" borderId="48" xfId="0" applyFont="1" applyFill="1" applyBorder="1" applyAlignment="1">
      <alignment horizontal="left" vertical="center"/>
    </xf>
    <xf numFmtId="0" fontId="0" fillId="14" borderId="19" xfId="0" applyFill="1" applyBorder="1" applyAlignment="1">
      <alignment horizontal="left" vertical="center"/>
    </xf>
    <xf numFmtId="0" fontId="0" fillId="14" borderId="28" xfId="0" applyFill="1" applyBorder="1" applyAlignment="1">
      <alignment horizontal="left" vertical="center"/>
    </xf>
    <xf numFmtId="0" fontId="0" fillId="3" borderId="19" xfId="0" applyFill="1" applyBorder="1" applyAlignment="1">
      <alignment horizontal="right" vertical="center"/>
    </xf>
    <xf numFmtId="0" fontId="0" fillId="3" borderId="28" xfId="0" applyFill="1" applyBorder="1" applyAlignment="1">
      <alignment horizontal="right" vertical="center"/>
    </xf>
    <xf numFmtId="0" fontId="59" fillId="0" borderId="22" xfId="0" applyFont="1" applyBorder="1" applyAlignment="1">
      <alignment horizontal="center" vertical="center"/>
    </xf>
    <xf numFmtId="0" fontId="39" fillId="0" borderId="22" xfId="0" applyFont="1" applyBorder="1" applyAlignment="1">
      <alignment horizontal="center" vertical="center"/>
    </xf>
    <xf numFmtId="0" fontId="3" fillId="2" borderId="36" xfId="0" applyFont="1" applyFill="1" applyBorder="1" applyAlignment="1">
      <alignment horizontal="right" vertical="center"/>
    </xf>
    <xf numFmtId="0" fontId="0" fillId="2" borderId="40" xfId="0" applyFill="1" applyBorder="1" applyAlignment="1">
      <alignment vertical="center"/>
    </xf>
    <xf numFmtId="0" fontId="9" fillId="0" borderId="22" xfId="0" applyFont="1" applyBorder="1" applyAlignment="1">
      <alignment vertical="center" wrapText="1"/>
    </xf>
    <xf numFmtId="0" fontId="9" fillId="0" borderId="50" xfId="0" applyFont="1" applyBorder="1" applyAlignment="1">
      <alignment vertical="center" wrapText="1"/>
    </xf>
    <xf numFmtId="0" fontId="9" fillId="0" borderId="52" xfId="0" applyFont="1" applyBorder="1" applyAlignment="1">
      <alignment vertical="center" wrapText="1"/>
    </xf>
    <xf numFmtId="0" fontId="9" fillId="0" borderId="29" xfId="0" applyFont="1" applyBorder="1" applyAlignment="1">
      <alignment vertical="center" wrapText="1"/>
    </xf>
    <xf numFmtId="0" fontId="0" fillId="0" borderId="35" xfId="0" applyBorder="1" applyAlignment="1">
      <alignment vertical="center"/>
    </xf>
    <xf numFmtId="0" fontId="0" fillId="0" borderId="20" xfId="0" applyBorder="1" applyAlignment="1">
      <alignment vertical="center"/>
    </xf>
    <xf numFmtId="0" fontId="0" fillId="0" borderId="21" xfId="0" applyBorder="1" applyAlignment="1">
      <alignment vertical="center"/>
    </xf>
    <xf numFmtId="0" fontId="20" fillId="0" borderId="51" xfId="0" applyFont="1" applyBorder="1" applyAlignment="1">
      <alignment vertical="center"/>
    </xf>
    <xf numFmtId="0" fontId="0" fillId="0" borderId="52" xfId="0" applyBorder="1" applyAlignment="1">
      <alignment vertical="center"/>
    </xf>
    <xf numFmtId="0" fontId="0" fillId="0" borderId="29" xfId="0" applyBorder="1" applyAlignment="1">
      <alignment vertical="center"/>
    </xf>
    <xf numFmtId="0" fontId="0" fillId="0" borderId="56" xfId="0" applyBorder="1" applyAlignment="1">
      <alignment vertical="center"/>
    </xf>
    <xf numFmtId="0" fontId="0" fillId="0" borderId="45" xfId="0" applyBorder="1" applyAlignment="1">
      <alignment vertical="center"/>
    </xf>
    <xf numFmtId="0" fontId="0" fillId="0" borderId="31" xfId="0" applyBorder="1" applyAlignment="1">
      <alignment vertical="center"/>
    </xf>
    <xf numFmtId="0" fontId="0" fillId="0" borderId="54" xfId="0" applyBorder="1" applyAlignment="1">
      <alignment vertical="center"/>
    </xf>
    <xf numFmtId="0" fontId="0" fillId="0" borderId="46" xfId="0" applyBorder="1" applyAlignment="1">
      <alignment vertical="center"/>
    </xf>
    <xf numFmtId="0" fontId="0" fillId="0" borderId="58" xfId="0" applyBorder="1" applyAlignment="1">
      <alignment vertical="center"/>
    </xf>
    <xf numFmtId="0" fontId="0" fillId="0" borderId="22" xfId="0" applyBorder="1" applyAlignment="1">
      <alignment vertical="center"/>
    </xf>
    <xf numFmtId="0" fontId="0" fillId="0" borderId="50" xfId="0" applyBorder="1" applyAlignment="1">
      <alignment vertical="center"/>
    </xf>
    <xf numFmtId="0" fontId="0" fillId="0" borderId="49" xfId="0" applyBorder="1" applyAlignment="1">
      <alignment vertical="center" wrapText="1"/>
    </xf>
    <xf numFmtId="0" fontId="0" fillId="0" borderId="22" xfId="0" applyBorder="1" applyAlignment="1">
      <alignment vertical="center" wrapText="1"/>
    </xf>
    <xf numFmtId="0" fontId="0" fillId="0" borderId="50" xfId="0" applyBorder="1" applyAlignment="1">
      <alignment vertical="center" wrapText="1"/>
    </xf>
    <xf numFmtId="0" fontId="0" fillId="0" borderId="51" xfId="0" applyBorder="1" applyAlignment="1">
      <alignment vertical="center" wrapText="1"/>
    </xf>
    <xf numFmtId="0" fontId="0" fillId="0" borderId="52" xfId="0" applyBorder="1" applyAlignment="1">
      <alignment vertical="center" wrapText="1"/>
    </xf>
    <xf numFmtId="0" fontId="0" fillId="0" borderId="29" xfId="0" applyBorder="1" applyAlignment="1">
      <alignment vertical="center" wrapText="1"/>
    </xf>
    <xf numFmtId="0" fontId="0" fillId="0" borderId="35" xfId="0" applyBorder="1" applyAlignment="1">
      <alignment horizontal="right" vertical="center"/>
    </xf>
    <xf numFmtId="0" fontId="0" fillId="0" borderId="39" xfId="0" applyBorder="1" applyAlignment="1">
      <alignment vertical="center"/>
    </xf>
    <xf numFmtId="0" fontId="15" fillId="2" borderId="36" xfId="0" applyFont="1" applyFill="1" applyBorder="1" applyAlignment="1">
      <alignment horizontal="center" vertical="center"/>
    </xf>
    <xf numFmtId="0" fontId="0" fillId="0" borderId="40" xfId="0" applyBorder="1" applyAlignment="1">
      <alignment horizontal="center" vertical="center"/>
    </xf>
    <xf numFmtId="0" fontId="3" fillId="2" borderId="33" xfId="0" applyFont="1" applyFill="1" applyBorder="1" applyAlignment="1">
      <alignment horizontal="right" vertical="center"/>
    </xf>
    <xf numFmtId="0" fontId="0" fillId="2" borderId="38" xfId="0" applyFill="1" applyBorder="1" applyAlignment="1">
      <alignment vertical="center"/>
    </xf>
    <xf numFmtId="0" fontId="3" fillId="2" borderId="35" xfId="0" applyFont="1" applyFill="1" applyBorder="1" applyAlignment="1">
      <alignment horizontal="right" vertical="center"/>
    </xf>
    <xf numFmtId="0" fontId="0" fillId="2" borderId="39" xfId="0" applyFill="1" applyBorder="1" applyAlignment="1">
      <alignment vertical="center"/>
    </xf>
    <xf numFmtId="0" fontId="0" fillId="15" borderId="37" xfId="0" applyFill="1" applyBorder="1" applyAlignment="1">
      <alignment vertical="center"/>
    </xf>
    <xf numFmtId="0" fontId="0" fillId="15" borderId="13" xfId="0" applyFill="1" applyBorder="1" applyAlignment="1">
      <alignment vertical="center"/>
    </xf>
    <xf numFmtId="0" fontId="0" fillId="15" borderId="39" xfId="0" applyFill="1" applyBorder="1" applyAlignment="1">
      <alignment horizontal="left" vertical="center"/>
    </xf>
    <xf numFmtId="0" fontId="0" fillId="15" borderId="47" xfId="0" applyFill="1" applyBorder="1" applyAlignment="1">
      <alignment vertical="center"/>
    </xf>
    <xf numFmtId="0" fontId="0" fillId="2" borderId="5" xfId="0" applyFill="1" applyBorder="1" applyAlignment="1">
      <alignment vertical="center"/>
    </xf>
    <xf numFmtId="0" fontId="11" fillId="2" borderId="67" xfId="0" applyFont="1" applyFill="1" applyBorder="1" applyAlignment="1">
      <alignment horizontal="left" vertical="center"/>
    </xf>
    <xf numFmtId="0" fontId="0" fillId="0" borderId="19" xfId="0" applyBorder="1" applyAlignment="1">
      <alignment vertical="center"/>
    </xf>
    <xf numFmtId="0" fontId="0" fillId="15" borderId="38" xfId="0" applyFill="1" applyBorder="1" applyAlignment="1">
      <alignment horizontal="left" vertical="center"/>
    </xf>
    <xf numFmtId="0" fontId="0" fillId="15" borderId="45" xfId="0" applyFill="1" applyBorder="1" applyAlignment="1">
      <alignment vertical="center"/>
    </xf>
    <xf numFmtId="0" fontId="11" fillId="2" borderId="4" xfId="0" applyFont="1" applyFill="1" applyBorder="1" applyAlignment="1">
      <alignment horizontal="left" vertical="center"/>
    </xf>
    <xf numFmtId="0" fontId="0" fillId="0" borderId="40" xfId="0" applyBorder="1" applyAlignment="1">
      <alignment vertical="center"/>
    </xf>
    <xf numFmtId="0" fontId="0" fillId="15" borderId="11" xfId="0" applyFill="1" applyBorder="1" applyAlignment="1">
      <alignment vertical="center"/>
    </xf>
    <xf numFmtId="0" fontId="0" fillId="15" borderId="12" xfId="0" applyFill="1" applyBorder="1" applyAlignment="1">
      <alignment vertical="center"/>
    </xf>
    <xf numFmtId="0" fontId="0" fillId="15" borderId="20" xfId="0" applyFill="1" applyBorder="1" applyAlignment="1">
      <alignment vertical="center"/>
    </xf>
    <xf numFmtId="0" fontId="0" fillId="15" borderId="21" xfId="0" applyFill="1" applyBorder="1" applyAlignment="1">
      <alignment vertical="center"/>
    </xf>
    <xf numFmtId="0" fontId="3" fillId="2" borderId="70" xfId="0" applyFont="1" applyFill="1" applyBorder="1" applyAlignment="1">
      <alignment vertical="center"/>
    </xf>
    <xf numFmtId="0" fontId="3" fillId="2" borderId="4" xfId="0" applyFont="1" applyFill="1" applyBorder="1" applyAlignment="1">
      <alignment vertical="center"/>
    </xf>
    <xf numFmtId="0" fontId="3" fillId="2" borderId="5" xfId="0" applyFont="1" applyFill="1" applyBorder="1" applyAlignment="1">
      <alignment vertical="center"/>
    </xf>
    <xf numFmtId="0" fontId="0" fillId="0" borderId="64" xfId="0" applyBorder="1" applyAlignment="1">
      <alignment vertical="center"/>
    </xf>
    <xf numFmtId="0" fontId="0" fillId="0" borderId="6" xfId="0" applyBorder="1" applyAlignment="1">
      <alignment vertical="center"/>
    </xf>
    <xf numFmtId="0" fontId="13" fillId="0" borderId="6" xfId="2" applyBorder="1" applyAlignment="1">
      <alignment vertical="center"/>
    </xf>
    <xf numFmtId="0" fontId="0" fillId="0" borderId="65" xfId="0" applyBorder="1" applyAlignment="1">
      <alignment vertical="center"/>
    </xf>
    <xf numFmtId="0" fontId="11" fillId="2" borderId="22" xfId="0" applyFont="1" applyFill="1" applyBorder="1" applyAlignment="1">
      <alignment vertical="center"/>
    </xf>
    <xf numFmtId="0" fontId="11" fillId="2" borderId="50" xfId="0" applyFont="1" applyFill="1" applyBorder="1" applyAlignment="1">
      <alignment vertical="center"/>
    </xf>
    <xf numFmtId="0" fontId="3" fillId="2" borderId="36" xfId="0" applyFont="1" applyFill="1" applyBorder="1" applyAlignment="1">
      <alignment vertical="center"/>
    </xf>
    <xf numFmtId="0" fontId="0" fillId="0" borderId="43" xfId="0" applyBorder="1" applyAlignment="1">
      <alignment vertical="center"/>
    </xf>
    <xf numFmtId="0" fontId="0" fillId="0" borderId="17" xfId="0" applyBorder="1" applyAlignment="1">
      <alignment vertical="center"/>
    </xf>
    <xf numFmtId="0" fontId="0" fillId="0" borderId="18" xfId="0" applyBorder="1" applyAlignment="1">
      <alignment vertical="center"/>
    </xf>
    <xf numFmtId="42" fontId="11" fillId="7" borderId="48" xfId="0" applyNumberFormat="1" applyFont="1" applyFill="1" applyBorder="1" applyAlignment="1">
      <alignment horizontal="center" vertical="center"/>
    </xf>
    <xf numFmtId="0" fontId="9" fillId="7" borderId="28" xfId="0" applyFont="1" applyFill="1" applyBorder="1" applyAlignment="1">
      <alignment vertical="center"/>
    </xf>
    <xf numFmtId="0" fontId="9" fillId="0" borderId="36" xfId="2" applyFont="1" applyBorder="1" applyAlignment="1">
      <alignment vertical="center"/>
    </xf>
    <xf numFmtId="0" fontId="47" fillId="0" borderId="4" xfId="0" applyFont="1" applyBorder="1" applyAlignment="1">
      <alignment vertical="center"/>
    </xf>
    <xf numFmtId="0" fontId="47" fillId="0" borderId="5" xfId="0" applyFont="1" applyBorder="1" applyAlignment="1">
      <alignment vertical="center"/>
    </xf>
    <xf numFmtId="0" fontId="0" fillId="0" borderId="44" xfId="0" applyBorder="1" applyAlignment="1">
      <alignment vertical="center" wrapText="1"/>
    </xf>
    <xf numFmtId="44" fontId="0" fillId="0" borderId="51" xfId="0" applyNumberFormat="1" applyBorder="1" applyAlignment="1">
      <alignment horizontal="left" vertical="center"/>
    </xf>
    <xf numFmtId="0" fontId="3" fillId="2" borderId="49" xfId="0" applyFont="1" applyFill="1" applyBorder="1" applyAlignment="1">
      <alignment horizontal="center" vertical="center" wrapText="1"/>
    </xf>
    <xf numFmtId="0" fontId="3" fillId="2" borderId="50" xfId="0" applyFont="1" applyFill="1" applyBorder="1" applyAlignment="1">
      <alignment horizontal="center" vertical="center" wrapText="1"/>
    </xf>
    <xf numFmtId="0" fontId="3" fillId="2" borderId="29" xfId="0" applyFont="1" applyFill="1" applyBorder="1" applyAlignment="1">
      <alignment horizontal="center" vertical="center" wrapText="1"/>
    </xf>
    <xf numFmtId="0" fontId="0" fillId="3" borderId="19" xfId="0" applyFill="1" applyBorder="1" applyAlignment="1">
      <alignment vertical="center"/>
    </xf>
    <xf numFmtId="0" fontId="3" fillId="2" borderId="22" xfId="0" applyFont="1" applyFill="1" applyBorder="1" applyAlignment="1">
      <alignment horizontal="center" vertical="center" wrapText="1"/>
    </xf>
    <xf numFmtId="0" fontId="3" fillId="2" borderId="52" xfId="0" applyFont="1" applyFill="1" applyBorder="1" applyAlignment="1">
      <alignment horizontal="center" vertical="center" wrapText="1"/>
    </xf>
    <xf numFmtId="0" fontId="0" fillId="15" borderId="37" xfId="0" applyFill="1" applyBorder="1" applyAlignment="1">
      <alignment horizontal="left" vertical="center"/>
    </xf>
    <xf numFmtId="0" fontId="0" fillId="15" borderId="46" xfId="0" applyFill="1" applyBorder="1" applyAlignment="1">
      <alignment horizontal="left" vertical="center"/>
    </xf>
    <xf numFmtId="0" fontId="0" fillId="15" borderId="7" xfId="0" applyFill="1" applyBorder="1" applyAlignment="1">
      <alignment horizontal="left" vertical="center"/>
    </xf>
    <xf numFmtId="0" fontId="3" fillId="3" borderId="36" xfId="0" applyFont="1" applyFill="1" applyBorder="1" applyAlignment="1">
      <alignment horizontal="right" vertical="center"/>
    </xf>
    <xf numFmtId="0" fontId="3" fillId="3" borderId="40" xfId="0" applyFont="1" applyFill="1" applyBorder="1" applyAlignment="1">
      <alignment vertical="center"/>
    </xf>
    <xf numFmtId="0" fontId="3" fillId="3" borderId="19" xfId="0" applyFont="1" applyFill="1" applyBorder="1" applyAlignment="1">
      <alignment horizontal="right" vertical="center"/>
    </xf>
    <xf numFmtId="0" fontId="0" fillId="0" borderId="28" xfId="0" applyBorder="1" applyAlignment="1">
      <alignment vertical="center"/>
    </xf>
    <xf numFmtId="0" fontId="0" fillId="0" borderId="57" xfId="0" applyBorder="1" applyAlignment="1">
      <alignment vertical="center"/>
    </xf>
    <xf numFmtId="0" fontId="0" fillId="0" borderId="47" xfId="0" applyBorder="1" applyAlignment="1">
      <alignment vertical="center"/>
    </xf>
    <xf numFmtId="0" fontId="0" fillId="0" borderId="32" xfId="0" applyBorder="1" applyAlignment="1">
      <alignment vertical="center"/>
    </xf>
    <xf numFmtId="0" fontId="10" fillId="0" borderId="19" xfId="0" applyFont="1" applyBorder="1" applyAlignment="1">
      <alignment vertical="center"/>
    </xf>
    <xf numFmtId="0" fontId="10" fillId="0" borderId="28" xfId="0" applyFont="1" applyBorder="1" applyAlignment="1">
      <alignment vertical="center"/>
    </xf>
    <xf numFmtId="0" fontId="3" fillId="0" borderId="49"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50" xfId="0" applyFont="1" applyBorder="1" applyAlignment="1">
      <alignment horizontal="center" vertical="center" wrapText="1"/>
    </xf>
    <xf numFmtId="0" fontId="3" fillId="0" borderId="44" xfId="0" applyFont="1" applyBorder="1" applyAlignment="1">
      <alignment horizontal="center" vertical="center" wrapText="1"/>
    </xf>
    <xf numFmtId="0" fontId="3" fillId="0" borderId="0" xfId="0" applyFont="1" applyAlignment="1">
      <alignment horizontal="center" vertical="center" wrapText="1"/>
    </xf>
    <xf numFmtId="0" fontId="3" fillId="0" borderId="30" xfId="0" applyFont="1" applyBorder="1" applyAlignment="1">
      <alignment horizontal="center" vertical="center" wrapText="1"/>
    </xf>
    <xf numFmtId="0" fontId="3" fillId="0" borderId="51" xfId="0" applyFont="1" applyBorder="1" applyAlignment="1">
      <alignment horizontal="center" vertical="center" wrapText="1"/>
    </xf>
    <xf numFmtId="0" fontId="3" fillId="0" borderId="52" xfId="0" applyFont="1" applyBorder="1" applyAlignment="1">
      <alignment horizontal="center" vertical="center" wrapText="1"/>
    </xf>
    <xf numFmtId="0" fontId="3" fillId="0" borderId="29" xfId="0" applyFont="1" applyBorder="1" applyAlignment="1">
      <alignment horizontal="center" vertical="center" wrapText="1"/>
    </xf>
    <xf numFmtId="0" fontId="13" fillId="0" borderId="39" xfId="2" applyBorder="1" applyAlignment="1">
      <alignment vertical="center"/>
    </xf>
    <xf numFmtId="0" fontId="13" fillId="0" borderId="47" xfId="2" applyBorder="1" applyAlignment="1">
      <alignment vertical="center"/>
    </xf>
    <xf numFmtId="0" fontId="13" fillId="0" borderId="32" xfId="2" applyBorder="1" applyAlignment="1">
      <alignment vertical="center"/>
    </xf>
    <xf numFmtId="0" fontId="49" fillId="0" borderId="68" xfId="0" applyFont="1" applyBorder="1" applyAlignment="1">
      <alignment horizontal="left" vertical="center"/>
    </xf>
    <xf numFmtId="0" fontId="49" fillId="0" borderId="20" xfId="0" applyFont="1" applyBorder="1" applyAlignment="1">
      <alignment horizontal="left" vertical="center"/>
    </xf>
    <xf numFmtId="0" fontId="49" fillId="0" borderId="21" xfId="0" applyFont="1" applyBorder="1" applyAlignment="1">
      <alignment horizontal="left" vertical="center"/>
    </xf>
    <xf numFmtId="0" fontId="49" fillId="0" borderId="56" xfId="0" applyFont="1" applyBorder="1" applyAlignment="1">
      <alignment horizontal="left" vertical="center"/>
    </xf>
    <xf numFmtId="0" fontId="49" fillId="0" borderId="45" xfId="0" applyFont="1" applyBorder="1" applyAlignment="1">
      <alignment horizontal="left" vertical="center"/>
    </xf>
    <xf numFmtId="0" fontId="49" fillId="0" borderId="31" xfId="0" applyFont="1" applyBorder="1" applyAlignment="1">
      <alignment horizontal="left" vertical="center"/>
    </xf>
    <xf numFmtId="44" fontId="3" fillId="2" borderId="23" xfId="0" applyNumberFormat="1" applyFont="1" applyFill="1" applyBorder="1" applyAlignment="1">
      <alignment horizontal="center" vertical="center" wrapText="1"/>
    </xf>
    <xf numFmtId="44" fontId="3" fillId="2" borderId="14" xfId="0" applyNumberFormat="1" applyFont="1" applyFill="1" applyBorder="1" applyAlignment="1">
      <alignment horizontal="center" vertical="center" wrapText="1"/>
    </xf>
    <xf numFmtId="44" fontId="3" fillId="2" borderId="24" xfId="0" applyNumberFormat="1" applyFont="1" applyFill="1" applyBorder="1" applyAlignment="1">
      <alignment horizontal="center" vertical="center" wrapText="1"/>
    </xf>
    <xf numFmtId="44" fontId="9" fillId="0" borderId="36" xfId="0" applyNumberFormat="1" applyFont="1" applyBorder="1" applyAlignment="1">
      <alignment horizontal="center" vertical="center"/>
    </xf>
    <xf numFmtId="0" fontId="9" fillId="0" borderId="40" xfId="0" applyFont="1" applyBorder="1" applyAlignment="1">
      <alignment horizontal="center" vertical="center"/>
    </xf>
    <xf numFmtId="44" fontId="0" fillId="0" borderId="48" xfId="0" applyNumberFormat="1" applyBorder="1" applyAlignment="1">
      <alignment vertical="center"/>
    </xf>
    <xf numFmtId="44" fontId="0" fillId="0" borderId="19" xfId="0" applyNumberFormat="1" applyBorder="1" applyAlignment="1">
      <alignment vertical="center"/>
    </xf>
    <xf numFmtId="44" fontId="0" fillId="0" borderId="28" xfId="0" applyNumberFormat="1" applyBorder="1" applyAlignment="1">
      <alignment vertical="center"/>
    </xf>
    <xf numFmtId="0" fontId="0" fillId="0" borderId="40" xfId="0" quotePrefix="1" applyBorder="1" applyAlignment="1">
      <alignment vertical="center"/>
    </xf>
    <xf numFmtId="0" fontId="0" fillId="0" borderId="19" xfId="0" quotePrefix="1" applyBorder="1" applyAlignment="1">
      <alignment vertical="center"/>
    </xf>
    <xf numFmtId="0" fontId="0" fillId="0" borderId="28" xfId="0" quotePrefix="1" applyBorder="1" applyAlignment="1">
      <alignment vertical="center"/>
    </xf>
    <xf numFmtId="0" fontId="9" fillId="7" borderId="48" xfId="0" applyFont="1" applyFill="1" applyBorder="1" applyAlignment="1">
      <alignment horizontal="right" vertical="center"/>
    </xf>
    <xf numFmtId="0" fontId="9" fillId="7" borderId="70" xfId="0" applyFont="1" applyFill="1" applyBorder="1" applyAlignment="1">
      <alignment horizontal="right" vertical="center"/>
    </xf>
    <xf numFmtId="0" fontId="15" fillId="2" borderId="48" xfId="0" applyFont="1" applyFill="1" applyBorder="1" applyAlignment="1">
      <alignment horizontal="left" vertical="center"/>
    </xf>
    <xf numFmtId="0" fontId="15" fillId="2" borderId="19" xfId="0" applyFont="1" applyFill="1" applyBorder="1" applyAlignment="1">
      <alignment horizontal="left" vertical="center"/>
    </xf>
    <xf numFmtId="0" fontId="15" fillId="2" borderId="70" xfId="0" applyFont="1" applyFill="1" applyBorder="1" applyAlignment="1">
      <alignment horizontal="left" vertical="center"/>
    </xf>
    <xf numFmtId="0" fontId="9" fillId="22" borderId="56" xfId="0" applyFont="1" applyFill="1" applyBorder="1" applyAlignment="1">
      <alignment horizontal="left" vertical="center" wrapText="1"/>
    </xf>
    <xf numFmtId="0" fontId="9" fillId="22" borderId="45" xfId="0" applyFont="1" applyFill="1" applyBorder="1" applyAlignment="1">
      <alignment horizontal="left" vertical="center" wrapText="1"/>
    </xf>
    <xf numFmtId="0" fontId="9" fillId="22" borderId="31" xfId="0" applyFont="1" applyFill="1" applyBorder="1" applyAlignment="1">
      <alignment horizontal="left" vertical="center" wrapText="1"/>
    </xf>
    <xf numFmtId="0" fontId="49" fillId="0" borderId="54" xfId="0" applyFont="1" applyBorder="1" applyAlignment="1">
      <alignment horizontal="left" vertical="center"/>
    </xf>
    <xf numFmtId="0" fontId="49" fillId="0" borderId="46" xfId="0" applyFont="1" applyBorder="1" applyAlignment="1">
      <alignment horizontal="left" vertical="center"/>
    </xf>
    <xf numFmtId="0" fontId="49" fillId="0" borderId="58" xfId="0" applyFont="1" applyBorder="1" applyAlignment="1">
      <alignment horizontal="left" vertical="center"/>
    </xf>
    <xf numFmtId="0" fontId="73" fillId="0" borderId="48" xfId="2" applyFont="1" applyBorder="1" applyAlignment="1">
      <alignment vertical="center"/>
    </xf>
    <xf numFmtId="0" fontId="73" fillId="0" borderId="19" xfId="2" applyFont="1" applyBorder="1" applyAlignment="1">
      <alignment vertical="center"/>
    </xf>
    <xf numFmtId="0" fontId="73" fillId="0" borderId="28" xfId="2" applyFont="1" applyBorder="1" applyAlignment="1">
      <alignment vertical="center"/>
    </xf>
    <xf numFmtId="0" fontId="0" fillId="0" borderId="48" xfId="0" applyBorder="1" applyAlignment="1">
      <alignment vertical="center"/>
    </xf>
    <xf numFmtId="0" fontId="3" fillId="14" borderId="49" xfId="0" applyFont="1" applyFill="1" applyBorder="1" applyAlignment="1">
      <alignment horizontal="center" vertical="center" wrapText="1"/>
    </xf>
    <xf numFmtId="0" fontId="3" fillId="14" borderId="22" xfId="0" applyFont="1" applyFill="1" applyBorder="1" applyAlignment="1">
      <alignment horizontal="center" vertical="center" wrapText="1"/>
    </xf>
    <xf numFmtId="0" fontId="3" fillId="14" borderId="50" xfId="0" applyFont="1" applyFill="1" applyBorder="1" applyAlignment="1">
      <alignment horizontal="center" vertical="center" wrapText="1"/>
    </xf>
    <xf numFmtId="0" fontId="3" fillId="14" borderId="51" xfId="0" applyFont="1" applyFill="1" applyBorder="1" applyAlignment="1">
      <alignment horizontal="center" vertical="center" wrapText="1"/>
    </xf>
    <xf numFmtId="0" fontId="3" fillId="14" borderId="52" xfId="0" applyFont="1" applyFill="1" applyBorder="1" applyAlignment="1">
      <alignment horizontal="center" vertical="center" wrapText="1"/>
    </xf>
    <xf numFmtId="0" fontId="3" fillId="14" borderId="29" xfId="0" applyFont="1" applyFill="1" applyBorder="1" applyAlignment="1">
      <alignment horizontal="center" vertical="center" wrapText="1"/>
    </xf>
    <xf numFmtId="0" fontId="14" fillId="4" borderId="48" xfId="0" applyFont="1" applyFill="1" applyBorder="1" applyAlignment="1">
      <alignment horizontal="left" vertical="center"/>
    </xf>
    <xf numFmtId="0" fontId="14" fillId="4" borderId="19" xfId="0" applyFont="1" applyFill="1" applyBorder="1" applyAlignment="1">
      <alignment horizontal="left" vertical="center"/>
    </xf>
    <xf numFmtId="0" fontId="14" fillId="4" borderId="28" xfId="0" applyFont="1" applyFill="1" applyBorder="1" applyAlignment="1">
      <alignment horizontal="left" vertical="center"/>
    </xf>
    <xf numFmtId="0" fontId="13" fillId="0" borderId="56" xfId="2" applyBorder="1" applyAlignment="1">
      <alignment vertical="center"/>
    </xf>
    <xf numFmtId="0" fontId="13" fillId="0" borderId="45" xfId="2" applyBorder="1" applyAlignment="1">
      <alignment vertical="center"/>
    </xf>
    <xf numFmtId="0" fontId="13" fillId="0" borderId="31" xfId="2" applyBorder="1" applyAlignment="1">
      <alignment vertical="center"/>
    </xf>
    <xf numFmtId="0" fontId="3" fillId="23" borderId="19" xfId="0" applyFont="1" applyFill="1" applyBorder="1" applyAlignment="1">
      <alignment horizontal="center" vertical="center"/>
    </xf>
    <xf numFmtId="0" fontId="3" fillId="23" borderId="28" xfId="0" applyFont="1" applyFill="1" applyBorder="1" applyAlignment="1">
      <alignment horizontal="center" vertical="center"/>
    </xf>
    <xf numFmtId="0" fontId="3" fillId="14" borderId="48" xfId="0" applyFont="1" applyFill="1" applyBorder="1" applyAlignment="1">
      <alignment horizontal="center" vertical="center" wrapText="1"/>
    </xf>
    <xf numFmtId="0" fontId="3" fillId="14" borderId="19" xfId="0" applyFont="1" applyFill="1" applyBorder="1" applyAlignment="1">
      <alignment horizontal="center" vertical="center" wrapText="1"/>
    </xf>
    <xf numFmtId="0" fontId="3" fillId="14" borderId="28" xfId="0" applyFont="1" applyFill="1" applyBorder="1" applyAlignment="1">
      <alignment horizontal="center" vertical="center" wrapText="1"/>
    </xf>
    <xf numFmtId="0" fontId="3" fillId="2" borderId="44" xfId="0" applyFont="1" applyFill="1" applyBorder="1" applyAlignment="1">
      <alignment horizontal="center" vertical="center" wrapText="1"/>
    </xf>
    <xf numFmtId="0" fontId="3" fillId="2" borderId="30" xfId="0" applyFont="1" applyFill="1" applyBorder="1" applyAlignment="1">
      <alignment horizontal="center" vertical="center" wrapText="1"/>
    </xf>
    <xf numFmtId="0" fontId="0" fillId="0" borderId="53" xfId="0" applyBorder="1" applyAlignment="1">
      <alignment vertical="center"/>
    </xf>
    <xf numFmtId="0" fontId="0" fillId="0" borderId="71" xfId="0" applyBorder="1" applyAlignment="1">
      <alignment vertical="center"/>
    </xf>
    <xf numFmtId="0" fontId="0" fillId="0" borderId="69" xfId="0" applyBorder="1" applyAlignment="1">
      <alignment vertical="center"/>
    </xf>
    <xf numFmtId="0" fontId="0" fillId="0" borderId="49" xfId="0" applyBorder="1" applyAlignment="1">
      <alignment horizontal="left" vertical="center"/>
    </xf>
    <xf numFmtId="0" fontId="0" fillId="0" borderId="22" xfId="0" applyBorder="1" applyAlignment="1">
      <alignment horizontal="left" vertical="center"/>
    </xf>
    <xf numFmtId="0" fontId="0" fillId="0" borderId="50" xfId="0" applyBorder="1" applyAlignment="1">
      <alignment horizontal="left" vertical="center"/>
    </xf>
    <xf numFmtId="0" fontId="0" fillId="0" borderId="44" xfId="0" applyBorder="1" applyAlignment="1">
      <alignment horizontal="left" vertical="center"/>
    </xf>
    <xf numFmtId="0" fontId="0" fillId="0" borderId="0" xfId="0" applyAlignment="1">
      <alignment horizontal="left" vertical="center"/>
    </xf>
    <xf numFmtId="0" fontId="0" fillId="0" borderId="30" xfId="0" applyBorder="1" applyAlignment="1">
      <alignment horizontal="left" vertical="center"/>
    </xf>
    <xf numFmtId="0" fontId="0" fillId="0" borderId="51" xfId="0" applyBorder="1" applyAlignment="1">
      <alignment horizontal="left" vertical="center"/>
    </xf>
    <xf numFmtId="0" fontId="0" fillId="0" borderId="52" xfId="0" applyBorder="1" applyAlignment="1">
      <alignment horizontal="left" vertical="center"/>
    </xf>
    <xf numFmtId="0" fontId="0" fillId="0" borderId="29" xfId="0" applyBorder="1" applyAlignment="1">
      <alignment horizontal="left" vertical="center"/>
    </xf>
    <xf numFmtId="0" fontId="73" fillId="0" borderId="49" xfId="2" applyFont="1" applyBorder="1" applyAlignment="1">
      <alignment vertical="center"/>
    </xf>
    <xf numFmtId="0" fontId="73" fillId="0" borderId="22" xfId="2" applyFont="1" applyBorder="1" applyAlignment="1">
      <alignment vertical="center"/>
    </xf>
    <xf numFmtId="0" fontId="73" fillId="0" borderId="50" xfId="2" applyFont="1" applyBorder="1" applyAlignment="1">
      <alignment vertical="center"/>
    </xf>
    <xf numFmtId="0" fontId="3" fillId="2" borderId="28" xfId="0" applyFont="1" applyFill="1" applyBorder="1" applyAlignment="1">
      <alignment horizontal="center" vertical="center"/>
    </xf>
    <xf numFmtId="0" fontId="0" fillId="0" borderId="7" xfId="0" applyBorder="1" applyAlignment="1">
      <alignment vertical="center"/>
    </xf>
    <xf numFmtId="176" fontId="3" fillId="3" borderId="48" xfId="0" quotePrefix="1" applyNumberFormat="1" applyFont="1" applyFill="1" applyBorder="1" applyAlignment="1">
      <alignment horizontal="right" vertical="top"/>
    </xf>
    <xf numFmtId="176" fontId="3" fillId="3" borderId="28" xfId="0" quotePrefix="1" applyNumberFormat="1" applyFont="1" applyFill="1" applyBorder="1" applyAlignment="1">
      <alignment horizontal="right" vertical="top"/>
    </xf>
    <xf numFmtId="44" fontId="3" fillId="2" borderId="48" xfId="0" applyNumberFormat="1" applyFont="1" applyFill="1" applyBorder="1" applyAlignment="1">
      <alignment horizontal="right" vertical="center"/>
    </xf>
    <xf numFmtId="44" fontId="3" fillId="2" borderId="50" xfId="0" applyNumberFormat="1" applyFont="1" applyFill="1" applyBorder="1" applyAlignment="1">
      <alignment horizontal="right" vertical="center"/>
    </xf>
    <xf numFmtId="0" fontId="3" fillId="14" borderId="48" xfId="0" applyFont="1" applyFill="1" applyBorder="1" applyAlignment="1">
      <alignment horizontal="right" vertical="center"/>
    </xf>
    <xf numFmtId="0" fontId="0" fillId="0" borderId="19" xfId="0" applyBorder="1" applyAlignment="1">
      <alignment horizontal="right" vertical="center"/>
    </xf>
    <xf numFmtId="0" fontId="0" fillId="0" borderId="28" xfId="0" applyBorder="1" applyAlignment="1">
      <alignment horizontal="right" vertical="center"/>
    </xf>
    <xf numFmtId="44" fontId="3" fillId="3" borderId="48" xfId="0" applyNumberFormat="1" applyFont="1" applyFill="1" applyBorder="1" applyAlignment="1">
      <alignment horizontal="right" vertical="center"/>
    </xf>
    <xf numFmtId="44" fontId="3" fillId="3" borderId="28" xfId="0" applyNumberFormat="1" applyFont="1" applyFill="1" applyBorder="1" applyAlignment="1">
      <alignment horizontal="right" vertical="center"/>
    </xf>
    <xf numFmtId="0" fontId="49" fillId="0" borderId="73" xfId="0" applyFont="1" applyBorder="1" applyAlignment="1">
      <alignment horizontal="left" vertical="center"/>
    </xf>
    <xf numFmtId="0" fontId="49" fillId="0" borderId="11" xfId="0" applyFont="1" applyBorder="1" applyAlignment="1">
      <alignment horizontal="left" vertical="center"/>
    </xf>
    <xf numFmtId="0" fontId="49" fillId="0" borderId="12" xfId="0" applyFont="1" applyBorder="1" applyAlignment="1">
      <alignment horizontal="left" vertical="center"/>
    </xf>
    <xf numFmtId="0" fontId="11" fillId="3" borderId="40" xfId="0" applyFont="1" applyFill="1" applyBorder="1" applyAlignment="1">
      <alignment horizontal="right" vertical="center" wrapText="1"/>
    </xf>
    <xf numFmtId="0" fontId="11" fillId="3" borderId="19" xfId="0" applyFont="1" applyFill="1" applyBorder="1" applyAlignment="1">
      <alignment horizontal="right" vertical="center" wrapText="1"/>
    </xf>
    <xf numFmtId="0" fontId="11" fillId="3" borderId="70" xfId="0" applyFont="1" applyFill="1" applyBorder="1" applyAlignment="1">
      <alignment horizontal="right" vertical="center" wrapText="1"/>
    </xf>
    <xf numFmtId="0" fontId="9" fillId="22" borderId="54" xfId="0" applyFont="1" applyFill="1" applyBorder="1" applyAlignment="1">
      <alignment horizontal="left" vertical="center" wrapText="1"/>
    </xf>
    <xf numFmtId="0" fontId="9" fillId="22" borderId="46" xfId="0" applyFont="1" applyFill="1" applyBorder="1" applyAlignment="1">
      <alignment horizontal="left" vertical="center" wrapText="1"/>
    </xf>
    <xf numFmtId="0" fontId="9" fillId="22" borderId="58" xfId="0" applyFont="1" applyFill="1" applyBorder="1" applyAlignment="1">
      <alignment horizontal="left" vertical="center" wrapText="1"/>
    </xf>
    <xf numFmtId="0" fontId="9" fillId="22" borderId="57" xfId="0" applyFont="1" applyFill="1" applyBorder="1" applyAlignment="1">
      <alignment horizontal="left" vertical="center" wrapText="1"/>
    </xf>
    <xf numFmtId="0" fontId="9" fillId="22" borderId="47" xfId="0" applyFont="1" applyFill="1" applyBorder="1" applyAlignment="1">
      <alignment horizontal="left" vertical="center" wrapText="1"/>
    </xf>
    <xf numFmtId="0" fontId="9" fillId="22" borderId="32" xfId="0" applyFont="1" applyFill="1" applyBorder="1" applyAlignment="1">
      <alignment horizontal="left" vertical="center" wrapText="1"/>
    </xf>
    <xf numFmtId="0" fontId="25" fillId="13" borderId="48" xfId="0" applyFont="1" applyFill="1" applyBorder="1" applyAlignment="1">
      <alignment horizontal="left" vertical="center"/>
    </xf>
    <xf numFmtId="0" fontId="25" fillId="13" borderId="19" xfId="0" applyFont="1" applyFill="1" applyBorder="1" applyAlignment="1">
      <alignment horizontal="left" vertical="center"/>
    </xf>
    <xf numFmtId="0" fontId="25" fillId="13" borderId="28" xfId="0" applyFont="1" applyFill="1" applyBorder="1" applyAlignment="1">
      <alignment horizontal="left" vertical="center"/>
    </xf>
    <xf numFmtId="0" fontId="25" fillId="22" borderId="48" xfId="0" applyFont="1" applyFill="1" applyBorder="1" applyAlignment="1">
      <alignment horizontal="left" vertical="center"/>
    </xf>
    <xf numFmtId="0" fontId="25" fillId="22" borderId="19" xfId="0" applyFont="1" applyFill="1" applyBorder="1" applyAlignment="1">
      <alignment horizontal="left" vertical="center"/>
    </xf>
    <xf numFmtId="0" fontId="25" fillId="22" borderId="28" xfId="0" applyFont="1" applyFill="1" applyBorder="1" applyAlignment="1">
      <alignment horizontal="left" vertical="center"/>
    </xf>
    <xf numFmtId="0" fontId="9" fillId="4" borderId="48" xfId="0" applyFont="1" applyFill="1" applyBorder="1" applyAlignment="1">
      <alignment horizontal="left" vertical="center" wrapText="1"/>
    </xf>
    <xf numFmtId="0" fontId="9" fillId="4" borderId="19" xfId="0" applyFont="1" applyFill="1" applyBorder="1" applyAlignment="1">
      <alignment horizontal="left" vertical="center" wrapText="1"/>
    </xf>
    <xf numFmtId="0" fontId="9" fillId="4" borderId="28" xfId="0" applyFont="1" applyFill="1" applyBorder="1" applyAlignment="1">
      <alignment horizontal="left" vertical="center" wrapText="1"/>
    </xf>
    <xf numFmtId="0" fontId="3" fillId="2" borderId="22" xfId="0" applyFont="1" applyFill="1" applyBorder="1" applyAlignment="1">
      <alignment vertical="center"/>
    </xf>
    <xf numFmtId="0" fontId="3" fillId="2" borderId="50" xfId="0" applyFont="1" applyFill="1" applyBorder="1" applyAlignment="1">
      <alignment vertical="center"/>
    </xf>
    <xf numFmtId="0" fontId="3" fillId="2" borderId="48" xfId="0" applyFont="1" applyFill="1" applyBorder="1" applyAlignment="1">
      <alignment horizontal="left" vertical="center"/>
    </xf>
    <xf numFmtId="0" fontId="3" fillId="2" borderId="19" xfId="0" applyFont="1" applyFill="1" applyBorder="1" applyAlignment="1">
      <alignment horizontal="left" vertical="center"/>
    </xf>
    <xf numFmtId="0" fontId="3" fillId="2" borderId="28" xfId="0" applyFont="1" applyFill="1" applyBorder="1" applyAlignment="1">
      <alignment horizontal="left" vertical="center"/>
    </xf>
    <xf numFmtId="0" fontId="9" fillId="0" borderId="48" xfId="0" applyFont="1" applyBorder="1" applyAlignment="1">
      <alignment horizontal="left" vertical="center"/>
    </xf>
    <xf numFmtId="0" fontId="0" fillId="0" borderId="0" xfId="0" applyAlignment="1">
      <alignment vertical="center" wrapText="1"/>
    </xf>
    <xf numFmtId="0" fontId="0" fillId="0" borderId="30" xfId="0" applyBorder="1" applyAlignment="1">
      <alignment vertical="center" wrapText="1"/>
    </xf>
    <xf numFmtId="0" fontId="49" fillId="0" borderId="7" xfId="0" applyFont="1" applyBorder="1" applyAlignment="1">
      <alignment horizontal="left" vertical="center"/>
    </xf>
    <xf numFmtId="0" fontId="49" fillId="0" borderId="1" xfId="0" applyFont="1" applyBorder="1" applyAlignment="1">
      <alignment horizontal="left" vertical="center"/>
    </xf>
    <xf numFmtId="0" fontId="49" fillId="0" borderId="13" xfId="0" applyFont="1" applyBorder="1" applyAlignment="1">
      <alignment horizontal="left" vertical="center"/>
    </xf>
    <xf numFmtId="0" fontId="13" fillId="0" borderId="47" xfId="2" applyBorder="1" applyAlignment="1">
      <alignment horizontal="left" vertical="center"/>
    </xf>
    <xf numFmtId="0" fontId="13" fillId="0" borderId="32" xfId="2" applyBorder="1" applyAlignment="1">
      <alignment horizontal="left" vertical="center"/>
    </xf>
    <xf numFmtId="0" fontId="13" fillId="0" borderId="54" xfId="2" applyBorder="1" applyAlignment="1">
      <alignment vertical="center"/>
    </xf>
    <xf numFmtId="0" fontId="13" fillId="0" borderId="46" xfId="2" applyBorder="1" applyAlignment="1">
      <alignment vertical="center"/>
    </xf>
    <xf numFmtId="0" fontId="13" fillId="0" borderId="58" xfId="2" applyBorder="1" applyAlignment="1">
      <alignment vertical="center"/>
    </xf>
    <xf numFmtId="0" fontId="11" fillId="2" borderId="61" xfId="0" applyFont="1" applyFill="1" applyBorder="1" applyAlignment="1">
      <alignment horizontal="center" vertical="center" wrapText="1"/>
    </xf>
    <xf numFmtId="0" fontId="11" fillId="2" borderId="25" xfId="0" applyFont="1" applyFill="1" applyBorder="1" applyAlignment="1">
      <alignment horizontal="center" vertical="center" wrapText="1"/>
    </xf>
    <xf numFmtId="0" fontId="11" fillId="3" borderId="51" xfId="0" applyFont="1" applyFill="1" applyBorder="1" applyAlignment="1">
      <alignment horizontal="right" vertical="center"/>
    </xf>
    <xf numFmtId="0" fontId="9" fillId="3" borderId="52" xfId="0" applyFont="1" applyFill="1" applyBorder="1" applyAlignment="1">
      <alignment vertical="center"/>
    </xf>
    <xf numFmtId="0" fontId="0" fillId="0" borderId="48" xfId="0" applyBorder="1" applyAlignment="1">
      <alignment horizontal="center" vertical="center"/>
    </xf>
    <xf numFmtId="0" fontId="0" fillId="0" borderId="19" xfId="0" applyBorder="1" applyAlignment="1">
      <alignment horizontal="center" vertical="center"/>
    </xf>
    <xf numFmtId="44" fontId="3" fillId="2" borderId="28" xfId="0" applyNumberFormat="1" applyFont="1" applyFill="1" applyBorder="1" applyAlignment="1">
      <alignment horizontal="right" vertical="center"/>
    </xf>
    <xf numFmtId="0" fontId="3" fillId="2" borderId="48"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0" fillId="0" borderId="55" xfId="0" applyBorder="1" applyAlignment="1">
      <alignment vertical="center"/>
    </xf>
    <xf numFmtId="0" fontId="0" fillId="0" borderId="76" xfId="0" applyBorder="1" applyAlignment="1">
      <alignment vertical="center"/>
    </xf>
    <xf numFmtId="0" fontId="0" fillId="0" borderId="72" xfId="0" applyBorder="1" applyAlignment="1">
      <alignment vertical="center"/>
    </xf>
    <xf numFmtId="0" fontId="11" fillId="2" borderId="62" xfId="0" applyFont="1" applyFill="1" applyBorder="1" applyAlignment="1">
      <alignment horizontal="center" vertical="center" wrapText="1"/>
    </xf>
    <xf numFmtId="0" fontId="11" fillId="2" borderId="63" xfId="0" applyFont="1" applyFill="1" applyBorder="1" applyAlignment="1">
      <alignment horizontal="center" vertical="center" wrapText="1"/>
    </xf>
    <xf numFmtId="0" fontId="11" fillId="2" borderId="60" xfId="0" applyFont="1" applyFill="1" applyBorder="1" applyAlignment="1">
      <alignment horizontal="center" vertical="center" wrapText="1"/>
    </xf>
    <xf numFmtId="0" fontId="11" fillId="2" borderId="59" xfId="0" applyFont="1" applyFill="1" applyBorder="1" applyAlignment="1">
      <alignment horizontal="center" vertical="center" wrapText="1"/>
    </xf>
    <xf numFmtId="0" fontId="0" fillId="0" borderId="28" xfId="0" applyBorder="1" applyAlignment="1">
      <alignment horizontal="center" vertical="center" wrapText="1"/>
    </xf>
    <xf numFmtId="0" fontId="2" fillId="0" borderId="0" xfId="0" applyFont="1" applyAlignment="1">
      <alignment horizontal="left" vertical="center" wrapText="1"/>
    </xf>
    <xf numFmtId="0" fontId="11" fillId="2" borderId="33" xfId="0" applyFont="1" applyFill="1" applyBorder="1" applyAlignment="1">
      <alignment horizontal="center" vertical="center" wrapText="1"/>
    </xf>
    <xf numFmtId="0" fontId="9" fillId="0" borderId="35" xfId="0" applyFont="1" applyBorder="1" applyAlignment="1">
      <alignment horizontal="center" vertical="center" wrapText="1"/>
    </xf>
    <xf numFmtId="0" fontId="11" fillId="2" borderId="12" xfId="0" applyFont="1" applyFill="1" applyBorder="1" applyAlignment="1">
      <alignment horizontal="center" vertical="center" wrapText="1"/>
    </xf>
    <xf numFmtId="0" fontId="9" fillId="0" borderId="21" xfId="0" applyFont="1" applyBorder="1" applyAlignment="1">
      <alignment horizontal="center" vertical="center" wrapText="1"/>
    </xf>
    <xf numFmtId="44" fontId="15" fillId="2" borderId="23" xfId="0" applyNumberFormat="1" applyFont="1" applyFill="1" applyBorder="1" applyAlignment="1">
      <alignment horizontal="center" vertical="center" wrapText="1"/>
    </xf>
    <xf numFmtId="44" fontId="15" fillId="2" borderId="14" xfId="0" applyNumberFormat="1" applyFont="1" applyFill="1" applyBorder="1" applyAlignment="1">
      <alignment horizontal="center" vertical="center" wrapText="1"/>
    </xf>
    <xf numFmtId="44" fontId="15" fillId="2" borderId="24" xfId="0" applyNumberFormat="1" applyFont="1" applyFill="1" applyBorder="1" applyAlignment="1">
      <alignment horizontal="center" vertical="center" wrapText="1"/>
    </xf>
    <xf numFmtId="0" fontId="11" fillId="3" borderId="48" xfId="1" applyFont="1" applyFill="1" applyBorder="1" applyAlignment="1">
      <alignment horizontal="right" vertical="center"/>
    </xf>
    <xf numFmtId="0" fontId="0" fillId="0" borderId="70" xfId="0" applyBorder="1" applyAlignment="1">
      <alignment horizontal="right" vertical="center"/>
    </xf>
    <xf numFmtId="0" fontId="11" fillId="2" borderId="48" xfId="1" applyFont="1" applyFill="1" applyBorder="1" applyAlignment="1">
      <alignment horizontal="right" vertical="top"/>
    </xf>
    <xf numFmtId="0" fontId="0" fillId="0" borderId="28" xfId="0" applyBorder="1" applyAlignment="1">
      <alignment horizontal="right" vertical="top"/>
    </xf>
    <xf numFmtId="0" fontId="3" fillId="2" borderId="23" xfId="0" applyFont="1" applyFill="1" applyBorder="1" applyAlignment="1">
      <alignment horizontal="center" wrapText="1"/>
    </xf>
    <xf numFmtId="0" fontId="3" fillId="2" borderId="14" xfId="0" applyFont="1" applyFill="1" applyBorder="1" applyAlignment="1">
      <alignment horizontal="center" wrapText="1"/>
    </xf>
    <xf numFmtId="0" fontId="3" fillId="2" borderId="24" xfId="0" applyFont="1" applyFill="1" applyBorder="1" applyAlignment="1">
      <alignment horizontal="center" wrapText="1"/>
    </xf>
    <xf numFmtId="0" fontId="3" fillId="19" borderId="49" xfId="0" applyFont="1" applyFill="1" applyBorder="1" applyAlignment="1">
      <alignment horizontal="center" vertical="center" wrapText="1"/>
    </xf>
    <xf numFmtId="0" fontId="0" fillId="19" borderId="44" xfId="0" applyFill="1" applyBorder="1" applyAlignment="1">
      <alignment horizontal="center" vertical="center" wrapText="1"/>
    </xf>
    <xf numFmtId="0" fontId="0" fillId="19" borderId="51" xfId="0" applyFill="1" applyBorder="1" applyAlignment="1">
      <alignment horizontal="center" vertical="center" wrapText="1"/>
    </xf>
    <xf numFmtId="0" fontId="10" fillId="5" borderId="60" xfId="0" applyFont="1" applyFill="1" applyBorder="1"/>
    <xf numFmtId="0" fontId="10" fillId="5" borderId="61" xfId="0" applyFont="1" applyFill="1" applyBorder="1"/>
    <xf numFmtId="0" fontId="10" fillId="5" borderId="4" xfId="0" applyFont="1" applyFill="1" applyBorder="1"/>
    <xf numFmtId="0" fontId="10" fillId="5" borderId="5" xfId="0" applyFont="1" applyFill="1" applyBorder="1"/>
    <xf numFmtId="0" fontId="9" fillId="0" borderId="48" xfId="1" applyFont="1" applyBorder="1" applyAlignment="1">
      <alignment horizontal="right" vertical="top"/>
    </xf>
    <xf numFmtId="0" fontId="0" fillId="0" borderId="70" xfId="0" applyBorder="1" applyAlignment="1">
      <alignment horizontal="right" vertical="top"/>
    </xf>
    <xf numFmtId="6" fontId="11" fillId="15" borderId="48" xfId="1" applyNumberFormat="1" applyFont="1" applyFill="1" applyBorder="1" applyAlignment="1">
      <alignment horizontal="right" vertical="top"/>
    </xf>
    <xf numFmtId="0" fontId="9" fillId="0" borderId="56" xfId="1" applyFont="1" applyBorder="1" applyAlignment="1">
      <alignment horizontal="right" vertical="top"/>
    </xf>
    <xf numFmtId="0" fontId="0" fillId="0" borderId="73" xfId="0" applyBorder="1" applyAlignment="1">
      <alignment horizontal="right" vertical="top"/>
    </xf>
    <xf numFmtId="0" fontId="9" fillId="0" borderId="54" xfId="1" applyFont="1" applyBorder="1" applyAlignment="1">
      <alignment horizontal="right" vertical="top"/>
    </xf>
    <xf numFmtId="0" fontId="0" fillId="0" borderId="7" xfId="0" applyBorder="1" applyAlignment="1">
      <alignment horizontal="right" vertical="top"/>
    </xf>
    <xf numFmtId="0" fontId="9" fillId="0" borderId="57" xfId="1" applyFont="1" applyBorder="1" applyAlignment="1">
      <alignment horizontal="right" vertical="top"/>
    </xf>
    <xf numFmtId="0" fontId="0" fillId="0" borderId="68" xfId="0" applyBorder="1" applyAlignment="1">
      <alignment horizontal="right" vertical="top"/>
    </xf>
    <xf numFmtId="0" fontId="3" fillId="2" borderId="19" xfId="0" applyFont="1" applyFill="1" applyBorder="1" applyAlignment="1">
      <alignment horizontal="right"/>
    </xf>
    <xf numFmtId="0" fontId="3" fillId="2" borderId="28" xfId="0" applyFont="1" applyFill="1" applyBorder="1" applyAlignment="1">
      <alignment horizontal="right"/>
    </xf>
    <xf numFmtId="0" fontId="0" fillId="0" borderId="56" xfId="0" applyBorder="1" applyAlignment="1">
      <alignment horizontal="center"/>
    </xf>
    <xf numFmtId="0" fontId="0" fillId="0" borderId="31" xfId="0" applyBorder="1" applyAlignment="1">
      <alignment horizontal="center"/>
    </xf>
    <xf numFmtId="0" fontId="0" fillId="0" borderId="54" xfId="0" applyBorder="1" applyAlignment="1">
      <alignment horizontal="center"/>
    </xf>
    <xf numFmtId="0" fontId="0" fillId="0" borderId="58" xfId="0" applyBorder="1" applyAlignment="1">
      <alignment horizontal="center"/>
    </xf>
    <xf numFmtId="0" fontId="0" fillId="0" borderId="57" xfId="0" applyBorder="1" applyAlignment="1">
      <alignment horizontal="center"/>
    </xf>
    <xf numFmtId="0" fontId="0" fillId="0" borderId="32" xfId="0" applyBorder="1" applyAlignment="1">
      <alignment horizontal="center"/>
    </xf>
    <xf numFmtId="0" fontId="11" fillId="2" borderId="8" xfId="1" applyFont="1" applyFill="1" applyBorder="1" applyAlignment="1">
      <alignment horizontal="center" vertical="top" wrapText="1"/>
    </xf>
    <xf numFmtId="0" fontId="0" fillId="2" borderId="10" xfId="0" applyFill="1" applyBorder="1" applyAlignment="1">
      <alignment wrapText="1"/>
    </xf>
    <xf numFmtId="0" fontId="5" fillId="0" borderId="34" xfId="0" applyFont="1" applyBorder="1"/>
    <xf numFmtId="0" fontId="5" fillId="0" borderId="1" xfId="0" applyFont="1" applyBorder="1"/>
    <xf numFmtId="0" fontId="5" fillId="0" borderId="13" xfId="0" applyFont="1" applyBorder="1"/>
    <xf numFmtId="0" fontId="5" fillId="0" borderId="35" xfId="0" applyFont="1" applyBorder="1"/>
    <xf numFmtId="0" fontId="5" fillId="0" borderId="20" xfId="0" applyFont="1" applyBorder="1"/>
    <xf numFmtId="0" fontId="5" fillId="0" borderId="21" xfId="0" applyFont="1" applyBorder="1"/>
    <xf numFmtId="0" fontId="3" fillId="2" borderId="49" xfId="0" applyFont="1" applyFill="1" applyBorder="1"/>
    <xf numFmtId="0" fontId="3" fillId="2" borderId="22" xfId="0" applyFont="1" applyFill="1" applyBorder="1"/>
    <xf numFmtId="0" fontId="3" fillId="2" borderId="50" xfId="0" applyFont="1" applyFill="1" applyBorder="1"/>
    <xf numFmtId="0" fontId="5" fillId="0" borderId="33" xfId="0" applyFont="1" applyBorder="1"/>
    <xf numFmtId="0" fontId="5" fillId="0" borderId="11" xfId="0" applyFont="1" applyBorder="1"/>
    <xf numFmtId="0" fontId="5" fillId="0" borderId="12" xfId="0" applyFont="1" applyBorder="1"/>
    <xf numFmtId="0" fontId="3" fillId="7" borderId="48" xfId="0" applyFont="1" applyFill="1" applyBorder="1" applyAlignment="1">
      <alignment horizontal="center"/>
    </xf>
    <xf numFmtId="0" fontId="3" fillId="7" borderId="19" xfId="0" applyFont="1" applyFill="1" applyBorder="1" applyAlignment="1">
      <alignment horizontal="center"/>
    </xf>
    <xf numFmtId="0" fontId="3" fillId="7" borderId="28" xfId="0" applyFont="1" applyFill="1" applyBorder="1" applyAlignment="1">
      <alignment horizontal="center"/>
    </xf>
    <xf numFmtId="0" fontId="3" fillId="2" borderId="33" xfId="0" applyFont="1" applyFill="1" applyBorder="1" applyAlignment="1">
      <alignment horizontal="center" vertical="center" wrapText="1"/>
    </xf>
    <xf numFmtId="0" fontId="3" fillId="2" borderId="43" xfId="0" applyFont="1" applyFill="1" applyBorder="1" applyAlignment="1">
      <alignment horizontal="center" vertical="center" wrapText="1"/>
    </xf>
    <xf numFmtId="0" fontId="3" fillId="2" borderId="34" xfId="0" applyFont="1" applyFill="1" applyBorder="1" applyAlignment="1">
      <alignment horizontal="center" vertical="center" wrapText="1"/>
    </xf>
    <xf numFmtId="0" fontId="3" fillId="2" borderId="35" xfId="0" applyFont="1" applyFill="1" applyBorder="1" applyAlignment="1">
      <alignment horizontal="center" vertical="center" wrapText="1"/>
    </xf>
    <xf numFmtId="44" fontId="3" fillId="2" borderId="49" xfId="0" applyNumberFormat="1" applyFont="1" applyFill="1" applyBorder="1" applyAlignment="1">
      <alignment horizontal="center"/>
    </xf>
    <xf numFmtId="0" fontId="3" fillId="2" borderId="22" xfId="0" applyFont="1" applyFill="1" applyBorder="1" applyAlignment="1">
      <alignment horizontal="center"/>
    </xf>
    <xf numFmtId="0" fontId="0" fillId="0" borderId="22" xfId="0" applyBorder="1"/>
    <xf numFmtId="0" fontId="0" fillId="0" borderId="50" xfId="0" applyBorder="1"/>
    <xf numFmtId="0" fontId="3" fillId="2" borderId="31" xfId="0" applyFont="1" applyFill="1" applyBorder="1" applyAlignment="1">
      <alignment horizontal="center" vertical="center" wrapText="1"/>
    </xf>
    <xf numFmtId="0" fontId="3" fillId="2" borderId="69" xfId="0" applyFont="1" applyFill="1" applyBorder="1" applyAlignment="1">
      <alignment horizontal="center" vertical="center" wrapText="1"/>
    </xf>
    <xf numFmtId="0" fontId="3" fillId="2" borderId="58" xfId="0" applyFont="1" applyFill="1" applyBorder="1" applyAlignment="1">
      <alignment horizontal="center" vertical="center" wrapText="1"/>
    </xf>
    <xf numFmtId="0" fontId="3" fillId="2" borderId="32"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71" xfId="0" applyFont="1" applyFill="1" applyBorder="1" applyAlignment="1">
      <alignment horizontal="center" vertical="center" wrapText="1"/>
    </xf>
    <xf numFmtId="0" fontId="3" fillId="2" borderId="46" xfId="0" applyFont="1" applyFill="1" applyBorder="1" applyAlignment="1">
      <alignment horizontal="center" vertical="center" wrapText="1"/>
    </xf>
    <xf numFmtId="0" fontId="0" fillId="2" borderId="26" xfId="0" applyFill="1" applyBorder="1" applyAlignment="1">
      <alignment wrapText="1"/>
    </xf>
    <xf numFmtId="0" fontId="3" fillId="3" borderId="48" xfId="0" applyFont="1" applyFill="1" applyBorder="1"/>
    <xf numFmtId="0" fontId="0" fillId="0" borderId="14" xfId="0" applyBorder="1" applyAlignment="1">
      <alignment vertical="center" wrapText="1"/>
    </xf>
    <xf numFmtId="0" fontId="0" fillId="0" borderId="24" xfId="0" applyBorder="1" applyAlignment="1">
      <alignment vertical="center" wrapText="1"/>
    </xf>
    <xf numFmtId="0" fontId="0" fillId="0" borderId="48" xfId="0" applyBorder="1" applyAlignment="1">
      <alignment horizontal="center"/>
    </xf>
    <xf numFmtId="0" fontId="0" fillId="0" borderId="28" xfId="0" applyBorder="1" applyAlignment="1">
      <alignment horizontal="center"/>
    </xf>
    <xf numFmtId="0" fontId="11" fillId="2" borderId="8" xfId="0" applyFont="1" applyFill="1" applyBorder="1" applyAlignment="1">
      <alignment horizontal="center" wrapText="1"/>
    </xf>
    <xf numFmtId="0" fontId="9" fillId="2" borderId="9" xfId="0" applyFont="1" applyFill="1" applyBorder="1" applyAlignment="1">
      <alignment wrapText="1"/>
    </xf>
    <xf numFmtId="0" fontId="9" fillId="2" borderId="26" xfId="0" applyFont="1" applyFill="1" applyBorder="1" applyAlignment="1">
      <alignment wrapText="1"/>
    </xf>
    <xf numFmtId="0" fontId="3" fillId="2" borderId="49" xfId="0" applyFont="1" applyFill="1" applyBorder="1" applyAlignment="1">
      <alignment horizontal="center" vertical="center"/>
    </xf>
    <xf numFmtId="0" fontId="0" fillId="0" borderId="50" xfId="0" applyBorder="1" applyAlignment="1">
      <alignment horizontal="center" vertical="center"/>
    </xf>
    <xf numFmtId="0" fontId="3" fillId="2" borderId="49" xfId="0" applyFont="1" applyFill="1" applyBorder="1" applyAlignment="1">
      <alignment horizontal="center"/>
    </xf>
    <xf numFmtId="0" fontId="3" fillId="2" borderId="50" xfId="0" applyFont="1" applyFill="1" applyBorder="1" applyAlignment="1">
      <alignment horizontal="center"/>
    </xf>
    <xf numFmtId="49" fontId="3" fillId="2" borderId="23" xfId="0" applyNumberFormat="1" applyFont="1" applyFill="1" applyBorder="1" applyAlignment="1">
      <alignment horizontal="center" wrapText="1"/>
    </xf>
    <xf numFmtId="0" fontId="3" fillId="2" borderId="24" xfId="0" applyFont="1" applyFill="1" applyBorder="1" applyAlignment="1">
      <alignment horizontal="center"/>
    </xf>
    <xf numFmtId="0" fontId="0" fillId="0" borderId="34" xfId="0" applyBorder="1" applyAlignment="1">
      <alignment horizontal="center" vertical="center" wrapText="1"/>
    </xf>
    <xf numFmtId="0" fontId="0" fillId="0" borderId="64" xfId="0" applyBorder="1" applyAlignment="1">
      <alignment horizontal="center" vertical="center" wrapText="1"/>
    </xf>
    <xf numFmtId="0" fontId="3" fillId="2" borderId="12"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0" fillId="0" borderId="13" xfId="0" applyBorder="1" applyAlignment="1">
      <alignment horizontal="center" vertical="center" wrapText="1"/>
    </xf>
    <xf numFmtId="0" fontId="0" fillId="0" borderId="65" xfId="0" applyBorder="1" applyAlignment="1">
      <alignment horizontal="center" vertical="center" wrapText="1"/>
    </xf>
    <xf numFmtId="0" fontId="0" fillId="0" borderId="14" xfId="0" applyBorder="1" applyAlignment="1">
      <alignment horizontal="center" vertical="center" wrapText="1"/>
    </xf>
    <xf numFmtId="0" fontId="0" fillId="15" borderId="20" xfId="0" applyFill="1" applyBorder="1"/>
    <xf numFmtId="0" fontId="0" fillId="15" borderId="39" xfId="0" applyFill="1" applyBorder="1"/>
    <xf numFmtId="0" fontId="2" fillId="22" borderId="19" xfId="0" applyFont="1" applyFill="1" applyBorder="1"/>
    <xf numFmtId="0" fontId="3" fillId="22" borderId="6" xfId="0" applyFont="1" applyFill="1" applyBorder="1" applyAlignment="1">
      <alignment horizontal="right"/>
    </xf>
    <xf numFmtId="0" fontId="3" fillId="22" borderId="42" xfId="0" applyFont="1" applyFill="1" applyBorder="1" applyAlignment="1">
      <alignment horizontal="right"/>
    </xf>
    <xf numFmtId="0" fontId="0" fillId="15" borderId="17" xfId="0" applyFill="1" applyBorder="1"/>
    <xf numFmtId="0" fontId="0" fillId="15" borderId="41" xfId="0" applyFill="1" applyBorder="1"/>
    <xf numFmtId="0" fontId="0" fillId="15" borderId="32" xfId="0" applyFill="1" applyBorder="1"/>
    <xf numFmtId="0" fontId="0" fillId="15" borderId="58" xfId="0" applyFill="1" applyBorder="1"/>
    <xf numFmtId="0" fontId="0" fillId="15" borderId="45" xfId="0" applyFill="1" applyBorder="1"/>
    <xf numFmtId="0" fontId="0" fillId="15" borderId="31" xfId="0" applyFill="1" applyBorder="1"/>
    <xf numFmtId="0" fontId="0" fillId="22" borderId="38" xfId="0" quotePrefix="1" applyFill="1" applyBorder="1"/>
    <xf numFmtId="0" fontId="0" fillId="22" borderId="45" xfId="0" applyFill="1" applyBorder="1"/>
    <xf numFmtId="0" fontId="0" fillId="22" borderId="31" xfId="0" applyFill="1" applyBorder="1"/>
    <xf numFmtId="0" fontId="3" fillId="14" borderId="4" xfId="0" applyFont="1" applyFill="1" applyBorder="1" applyAlignment="1">
      <alignment horizontal="right"/>
    </xf>
    <xf numFmtId="0" fontId="3" fillId="14" borderId="40" xfId="0" applyFont="1" applyFill="1" applyBorder="1" applyAlignment="1">
      <alignment horizontal="right"/>
    </xf>
    <xf numFmtId="0" fontId="0" fillId="0" borderId="0" xfId="0"/>
    <xf numFmtId="0" fontId="27" fillId="2" borderId="61" xfId="0" applyFont="1" applyFill="1" applyBorder="1"/>
    <xf numFmtId="0" fontId="27" fillId="2" borderId="66" xfId="0" applyFont="1" applyFill="1" applyBorder="1"/>
    <xf numFmtId="0" fontId="3" fillId="3" borderId="4" xfId="0" applyFont="1" applyFill="1" applyBorder="1" applyAlignment="1">
      <alignment horizontal="right"/>
    </xf>
    <xf numFmtId="0" fontId="3" fillId="2" borderId="4" xfId="0" applyFont="1" applyFill="1" applyBorder="1"/>
    <xf numFmtId="0" fontId="3" fillId="2" borderId="40" xfId="0" applyFont="1" applyFill="1" applyBorder="1"/>
    <xf numFmtId="0" fontId="27" fillId="2" borderId="19" xfId="0" applyFont="1" applyFill="1" applyBorder="1"/>
    <xf numFmtId="42" fontId="0" fillId="15" borderId="11" xfId="0" applyNumberFormat="1" applyFill="1" applyBorder="1"/>
    <xf numFmtId="42" fontId="0" fillId="15" borderId="1" xfId="0" applyNumberFormat="1" applyFill="1" applyBorder="1"/>
    <xf numFmtId="0" fontId="3" fillId="14" borderId="59" xfId="0" applyFont="1" applyFill="1" applyBorder="1" applyAlignment="1">
      <alignment horizontal="right"/>
    </xf>
    <xf numFmtId="0" fontId="3" fillId="14" borderId="67" xfId="0" applyFont="1" applyFill="1" applyBorder="1" applyAlignment="1">
      <alignment horizontal="right"/>
    </xf>
    <xf numFmtId="42" fontId="0" fillId="15" borderId="36" xfId="0" applyNumberFormat="1" applyFill="1" applyBorder="1"/>
    <xf numFmtId="0" fontId="0" fillId="15" borderId="4" xfId="0" applyFill="1" applyBorder="1"/>
    <xf numFmtId="0" fontId="0" fillId="15" borderId="40" xfId="0" applyFill="1" applyBorder="1"/>
    <xf numFmtId="0" fontId="3" fillId="14" borderId="60" xfId="0" applyFont="1" applyFill="1" applyBorder="1"/>
    <xf numFmtId="0" fontId="3" fillId="14" borderId="61" xfId="0" applyFont="1" applyFill="1" applyBorder="1"/>
    <xf numFmtId="0" fontId="3" fillId="14" borderId="66" xfId="0" applyFont="1" applyFill="1" applyBorder="1"/>
    <xf numFmtId="0" fontId="41" fillId="3" borderId="36" xfId="0" applyFont="1" applyFill="1" applyBorder="1" applyAlignment="1">
      <alignment horizontal="right"/>
    </xf>
    <xf numFmtId="0" fontId="41" fillId="3" borderId="4" xfId="0" applyFont="1" applyFill="1" applyBorder="1" applyAlignment="1">
      <alignment horizontal="right"/>
    </xf>
    <xf numFmtId="0" fontId="41" fillId="3" borderId="40" xfId="0" applyFont="1" applyFill="1" applyBorder="1" applyAlignment="1">
      <alignment horizontal="right"/>
    </xf>
    <xf numFmtId="0" fontId="0" fillId="0" borderId="20" xfId="0" quotePrefix="1" applyBorder="1"/>
    <xf numFmtId="0" fontId="0" fillId="0" borderId="20" xfId="0" applyBorder="1"/>
    <xf numFmtId="0" fontId="0" fillId="0" borderId="39" xfId="0" applyBorder="1"/>
    <xf numFmtId="42" fontId="3" fillId="2" borderId="36" xfId="0" applyNumberFormat="1" applyFont="1" applyFill="1" applyBorder="1" applyAlignment="1">
      <alignment horizontal="center"/>
    </xf>
    <xf numFmtId="0" fontId="3" fillId="2" borderId="4" xfId="0" applyFont="1" applyFill="1" applyBorder="1" applyAlignment="1">
      <alignment horizontal="center"/>
    </xf>
    <xf numFmtId="0" fontId="3" fillId="2" borderId="40" xfId="0" applyFont="1" applyFill="1" applyBorder="1" applyAlignment="1">
      <alignment horizontal="center"/>
    </xf>
    <xf numFmtId="0" fontId="0" fillId="0" borderId="43" xfId="0" applyBorder="1" applyAlignment="1">
      <alignment horizontal="right"/>
    </xf>
    <xf numFmtId="0" fontId="0" fillId="0" borderId="17" xfId="0" applyBorder="1" applyAlignment="1">
      <alignment horizontal="right"/>
    </xf>
    <xf numFmtId="0" fontId="0" fillId="0" borderId="41" xfId="0" applyBorder="1" applyAlignment="1">
      <alignment horizontal="right"/>
    </xf>
    <xf numFmtId="0" fontId="0" fillId="0" borderId="64" xfId="0" applyBorder="1" applyAlignment="1">
      <alignment horizontal="right"/>
    </xf>
    <xf numFmtId="0" fontId="0" fillId="0" borderId="6" xfId="0" applyBorder="1" applyAlignment="1">
      <alignment horizontal="right"/>
    </xf>
    <xf numFmtId="0" fontId="0" fillId="0" borderId="42" xfId="0" applyBorder="1" applyAlignment="1">
      <alignment horizontal="right"/>
    </xf>
    <xf numFmtId="0" fontId="3" fillId="14" borderId="36" xfId="0" applyFont="1" applyFill="1" applyBorder="1" applyAlignment="1">
      <alignment horizontal="right"/>
    </xf>
    <xf numFmtId="0" fontId="3" fillId="3" borderId="36" xfId="0" applyFont="1" applyFill="1" applyBorder="1" applyAlignment="1">
      <alignment horizontal="left"/>
    </xf>
    <xf numFmtId="0" fontId="3" fillId="3" borderId="4" xfId="0" applyFont="1" applyFill="1" applyBorder="1" applyAlignment="1">
      <alignment horizontal="left"/>
    </xf>
    <xf numFmtId="0" fontId="3" fillId="3" borderId="40" xfId="0" applyFont="1" applyFill="1" applyBorder="1" applyAlignment="1">
      <alignment horizontal="left"/>
    </xf>
    <xf numFmtId="0" fontId="3" fillId="14" borderId="5" xfId="0" applyFont="1" applyFill="1" applyBorder="1" applyAlignment="1">
      <alignment horizontal="right"/>
    </xf>
    <xf numFmtId="0" fontId="27" fillId="2" borderId="4" xfId="0" applyFont="1" applyFill="1" applyBorder="1"/>
    <xf numFmtId="0" fontId="27" fillId="2" borderId="40" xfId="0" applyFont="1" applyFill="1" applyBorder="1"/>
    <xf numFmtId="42" fontId="0" fillId="15" borderId="6" xfId="0" applyNumberFormat="1" applyFill="1" applyBorder="1"/>
    <xf numFmtId="0" fontId="3" fillId="3" borderId="5" xfId="0" applyFont="1" applyFill="1" applyBorder="1" applyAlignment="1">
      <alignment horizontal="right"/>
    </xf>
    <xf numFmtId="42" fontId="8" fillId="15" borderId="1" xfId="0" applyNumberFormat="1" applyFont="1" applyFill="1" applyBorder="1"/>
    <xf numFmtId="0" fontId="8" fillId="15" borderId="1" xfId="0" applyFont="1" applyFill="1" applyBorder="1"/>
    <xf numFmtId="0" fontId="8" fillId="15" borderId="37" xfId="0" applyFont="1" applyFill="1" applyBorder="1"/>
    <xf numFmtId="42" fontId="8" fillId="15" borderId="6" xfId="0" applyNumberFormat="1" applyFont="1" applyFill="1" applyBorder="1"/>
    <xf numFmtId="0" fontId="8" fillId="15" borderId="6" xfId="0" applyFont="1" applyFill="1" applyBorder="1"/>
    <xf numFmtId="0" fontId="8" fillId="15" borderId="42" xfId="0" applyFont="1" applyFill="1" applyBorder="1"/>
    <xf numFmtId="42" fontId="0" fillId="15" borderId="17" xfId="0" applyNumberFormat="1" applyFill="1" applyBorder="1"/>
    <xf numFmtId="0" fontId="0" fillId="0" borderId="49" xfId="0" applyBorder="1" applyAlignment="1">
      <alignment horizontal="center" vertical="center" wrapText="1"/>
    </xf>
    <xf numFmtId="0" fontId="0" fillId="0" borderId="50" xfId="0" applyBorder="1" applyAlignment="1">
      <alignment horizontal="center" vertical="center" wrapText="1"/>
    </xf>
    <xf numFmtId="0" fontId="0" fillId="0" borderId="44" xfId="0" applyBorder="1" applyAlignment="1">
      <alignment horizontal="center" vertical="center" wrapText="1"/>
    </xf>
    <xf numFmtId="0" fontId="0" fillId="0" borderId="30" xfId="0" applyBorder="1" applyAlignment="1">
      <alignment horizontal="center" vertical="center" wrapText="1"/>
    </xf>
    <xf numFmtId="0" fontId="0" fillId="0" borderId="51" xfId="0" applyBorder="1" applyAlignment="1">
      <alignment horizontal="center" vertical="center" wrapText="1"/>
    </xf>
    <xf numFmtId="0" fontId="0" fillId="0" borderId="29" xfId="0" applyBorder="1" applyAlignment="1">
      <alignment horizontal="center" vertical="center" wrapText="1"/>
    </xf>
    <xf numFmtId="42" fontId="3" fillId="2" borderId="48" xfId="0" applyNumberFormat="1" applyFont="1" applyFill="1" applyBorder="1" applyAlignment="1">
      <alignment horizontal="center"/>
    </xf>
    <xf numFmtId="42" fontId="0" fillId="0" borderId="28" xfId="0" applyNumberFormat="1" applyBorder="1" applyAlignment="1">
      <alignment horizontal="center"/>
    </xf>
    <xf numFmtId="42" fontId="3" fillId="2" borderId="49" xfId="0" applyNumberFormat="1" applyFont="1" applyFill="1" applyBorder="1" applyAlignment="1">
      <alignment horizontal="center"/>
    </xf>
    <xf numFmtId="42" fontId="0" fillId="0" borderId="77" xfId="0" applyNumberFormat="1" applyBorder="1" applyAlignment="1">
      <alignment horizontal="center"/>
    </xf>
    <xf numFmtId="42" fontId="41" fillId="15" borderId="48" xfId="0" applyNumberFormat="1" applyFont="1" applyFill="1" applyBorder="1" applyAlignment="1">
      <alignment horizontal="left"/>
    </xf>
    <xf numFmtId="42" fontId="41" fillId="15" borderId="28" xfId="0" applyNumberFormat="1" applyFont="1" applyFill="1" applyBorder="1" applyAlignment="1">
      <alignment horizontal="left"/>
    </xf>
    <xf numFmtId="42" fontId="3" fillId="2" borderId="22" xfId="0" applyNumberFormat="1" applyFont="1" applyFill="1" applyBorder="1" applyAlignment="1">
      <alignment horizontal="center"/>
    </xf>
    <xf numFmtId="42" fontId="0" fillId="0" borderId="50" xfId="0" applyNumberFormat="1" applyBorder="1" applyAlignment="1">
      <alignment horizontal="center"/>
    </xf>
    <xf numFmtId="0" fontId="0" fillId="0" borderId="22" xfId="0" applyBorder="1" applyAlignment="1">
      <alignment wrapText="1"/>
    </xf>
    <xf numFmtId="0" fontId="0" fillId="0" borderId="50" xfId="0" applyBorder="1" applyAlignment="1">
      <alignment wrapText="1"/>
    </xf>
    <xf numFmtId="0" fontId="0" fillId="0" borderId="44" xfId="0" applyBorder="1" applyAlignment="1">
      <alignment wrapText="1"/>
    </xf>
    <xf numFmtId="0" fontId="0" fillId="0" borderId="0" xfId="0" applyAlignment="1">
      <alignment wrapText="1"/>
    </xf>
    <xf numFmtId="0" fontId="0" fillId="0" borderId="30" xfId="0" applyBorder="1" applyAlignment="1">
      <alignment wrapText="1"/>
    </xf>
    <xf numFmtId="0" fontId="0" fillId="0" borderId="51" xfId="0" applyBorder="1" applyAlignment="1">
      <alignment wrapText="1"/>
    </xf>
    <xf numFmtId="0" fontId="0" fillId="0" borderId="52" xfId="0" applyBorder="1" applyAlignment="1">
      <alignment wrapText="1"/>
    </xf>
    <xf numFmtId="0" fontId="0" fillId="0" borderId="29" xfId="0" applyBorder="1" applyAlignment="1">
      <alignment wrapText="1"/>
    </xf>
    <xf numFmtId="0" fontId="3" fillId="0" borderId="48" xfId="0" applyFont="1" applyBorder="1"/>
  </cellXfs>
  <cellStyles count="3">
    <cellStyle name="Hyperlink" xfId="2" builtinId="8"/>
    <cellStyle name="Normal 2" xfId="1" xr:uid="{00000000-0005-0000-0000-000001000000}"/>
    <cellStyle name="Standaard" xfId="0" builtinId="0"/>
  </cellStyles>
  <dxfs count="140">
    <dxf>
      <fill>
        <patternFill>
          <bgColor theme="5" tint="0.39994506668294322"/>
        </patternFill>
      </fill>
    </dxf>
    <dxf>
      <fill>
        <patternFill>
          <bgColor theme="7" tint="0.59996337778862885"/>
        </patternFill>
      </fill>
    </dxf>
    <dxf>
      <fill>
        <patternFill>
          <bgColor theme="6" tint="0.59996337778862885"/>
        </patternFill>
      </fill>
    </dxf>
    <dxf>
      <fill>
        <patternFill>
          <bgColor theme="4" tint="0.79998168889431442"/>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92D050"/>
        </patternFill>
      </fill>
    </dxf>
    <dxf>
      <fill>
        <patternFill>
          <bgColor rgb="FF92D050"/>
        </patternFill>
      </fill>
    </dxf>
    <dxf>
      <fill>
        <patternFill patternType="gray0625">
          <bgColor rgb="FFFFC000"/>
        </patternFill>
      </fill>
    </dxf>
    <dxf>
      <fill>
        <patternFill>
          <bgColor rgb="FFFFC000"/>
        </patternFill>
      </fill>
    </dxf>
    <dxf>
      <fill>
        <patternFill>
          <bgColor rgb="FFFF0000"/>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0"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0"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9" tint="0.59996337778862885"/>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4" tint="0.79998168889431442"/>
        </patternFill>
      </fill>
    </dxf>
    <dxf>
      <fill>
        <patternFill>
          <bgColor rgb="FFFF0000"/>
        </patternFill>
      </fill>
    </dxf>
    <dxf>
      <fill>
        <patternFill>
          <bgColor theme="4" tint="0.79998168889431442"/>
        </patternFill>
      </fill>
    </dxf>
    <dxf>
      <fill>
        <patternFill>
          <bgColor rgb="FFFF0000"/>
        </patternFill>
      </fill>
    </dxf>
    <dxf>
      <fill>
        <patternFill>
          <bgColor theme="4" tint="0.79998168889431442"/>
        </patternFill>
      </fill>
    </dxf>
    <dxf>
      <fill>
        <patternFill>
          <bgColor rgb="FFFF0000"/>
        </patternFill>
      </fill>
    </dxf>
    <dxf>
      <fill>
        <patternFill>
          <bgColor theme="4" tint="0.79998168889431442"/>
        </patternFill>
      </fill>
    </dxf>
    <dxf>
      <fill>
        <patternFill>
          <bgColor rgb="FFFF0000"/>
        </patternFill>
      </fill>
    </dxf>
    <dxf>
      <fill>
        <patternFill>
          <bgColor theme="4" tint="0.79998168889431442"/>
        </patternFill>
      </fill>
    </dxf>
    <dxf>
      <fill>
        <patternFill>
          <bgColor rgb="FFFF0000"/>
        </patternFill>
      </fill>
    </dxf>
    <dxf>
      <fill>
        <patternFill>
          <bgColor theme="4" tint="0.79998168889431442"/>
        </patternFill>
      </fill>
    </dxf>
    <dxf>
      <fill>
        <patternFill>
          <bgColor rgb="FFFF0000"/>
        </patternFill>
      </fill>
    </dxf>
  </dxfs>
  <tableStyles count="0" defaultTableStyle="TableStyleMedium2" defaultPivotStyle="PivotStyleLight16"/>
  <colors>
    <mruColors>
      <color rgb="FFFFFF66"/>
      <color rgb="FF00FF0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drawings/drawing1.xml><?xml version="1.0" encoding="utf-8"?>
<xdr:wsDr xmlns:xdr="http://schemas.openxmlformats.org/drawingml/2006/spreadsheetDrawing" xmlns:a="http://schemas.openxmlformats.org/drawingml/2006/main">
  <xdr:twoCellAnchor>
    <xdr:from>
      <xdr:col>10</xdr:col>
      <xdr:colOff>346364</xdr:colOff>
      <xdr:row>64</xdr:row>
      <xdr:rowOff>21774</xdr:rowOff>
    </xdr:from>
    <xdr:to>
      <xdr:col>24</xdr:col>
      <xdr:colOff>35718</xdr:colOff>
      <xdr:row>92</xdr:row>
      <xdr:rowOff>59531</xdr:rowOff>
    </xdr:to>
    <xdr:sp macro="" textlink="">
      <xdr:nvSpPr>
        <xdr:cNvPr id="3" name="Rechthoek 2">
          <a:extLst>
            <a:ext uri="{FF2B5EF4-FFF2-40B4-BE49-F238E27FC236}">
              <a16:creationId xmlns:a16="http://schemas.microsoft.com/office/drawing/2014/main" id="{CDD06F7A-9693-4D8A-9503-33C10BD33A03}"/>
            </a:ext>
          </a:extLst>
        </xdr:cNvPr>
        <xdr:cNvSpPr/>
      </xdr:nvSpPr>
      <xdr:spPr>
        <a:xfrm>
          <a:off x="14729114" y="12535243"/>
          <a:ext cx="18977479" cy="5490819"/>
        </a:xfrm>
        <a:prstGeom prst="rect">
          <a:avLst/>
        </a:prstGeom>
        <a:noFill/>
        <a:ln w="25400">
          <a:solidFill>
            <a:schemeClr val="accent2">
              <a:lumMod val="75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10</xdr:col>
      <xdr:colOff>366156</xdr:colOff>
      <xdr:row>111</xdr:row>
      <xdr:rowOff>152400</xdr:rowOff>
    </xdr:from>
    <xdr:to>
      <xdr:col>23</xdr:col>
      <xdr:colOff>0</xdr:colOff>
      <xdr:row>130</xdr:row>
      <xdr:rowOff>76200</xdr:rowOff>
    </xdr:to>
    <xdr:sp macro="" textlink="">
      <xdr:nvSpPr>
        <xdr:cNvPr id="4" name="Rechthoek 3">
          <a:extLst>
            <a:ext uri="{FF2B5EF4-FFF2-40B4-BE49-F238E27FC236}">
              <a16:creationId xmlns:a16="http://schemas.microsoft.com/office/drawing/2014/main" id="{3F6E5939-BA85-429A-B63E-60E359292F70}"/>
            </a:ext>
          </a:extLst>
        </xdr:cNvPr>
        <xdr:cNvSpPr/>
      </xdr:nvSpPr>
      <xdr:spPr>
        <a:xfrm>
          <a:off x="12944104" y="20577958"/>
          <a:ext cx="16447325" cy="3446813"/>
        </a:xfrm>
        <a:prstGeom prst="rect">
          <a:avLst/>
        </a:prstGeom>
        <a:noFill/>
        <a:ln w="25400">
          <a:solidFill>
            <a:schemeClr val="accent2">
              <a:lumMod val="75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10</xdr:col>
      <xdr:colOff>359228</xdr:colOff>
      <xdr:row>92</xdr:row>
      <xdr:rowOff>142876</xdr:rowOff>
    </xdr:from>
    <xdr:to>
      <xdr:col>26</xdr:col>
      <xdr:colOff>107156</xdr:colOff>
      <xdr:row>111</xdr:row>
      <xdr:rowOff>62254</xdr:rowOff>
    </xdr:to>
    <xdr:sp macro="" textlink="">
      <xdr:nvSpPr>
        <xdr:cNvPr id="5" name="Rechthoek 4">
          <a:extLst>
            <a:ext uri="{FF2B5EF4-FFF2-40B4-BE49-F238E27FC236}">
              <a16:creationId xmlns:a16="http://schemas.microsoft.com/office/drawing/2014/main" id="{44B92F3A-0420-43B2-8CD8-3AF6F6E5BD45}"/>
            </a:ext>
          </a:extLst>
        </xdr:cNvPr>
        <xdr:cNvSpPr/>
      </xdr:nvSpPr>
      <xdr:spPr>
        <a:xfrm>
          <a:off x="14741978" y="18109407"/>
          <a:ext cx="21798303" cy="3729378"/>
        </a:xfrm>
        <a:prstGeom prst="rect">
          <a:avLst/>
        </a:prstGeom>
        <a:noFill/>
        <a:ln w="25400">
          <a:solidFill>
            <a:schemeClr val="accent2">
              <a:lumMod val="75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5</xdr:col>
      <xdr:colOff>238125</xdr:colOff>
      <xdr:row>164</xdr:row>
      <xdr:rowOff>95250</xdr:rowOff>
    </xdr:from>
    <xdr:to>
      <xdr:col>10</xdr:col>
      <xdr:colOff>214312</xdr:colOff>
      <xdr:row>164</xdr:row>
      <xdr:rowOff>107156</xdr:rowOff>
    </xdr:to>
    <xdr:cxnSp macro="">
      <xdr:nvCxnSpPr>
        <xdr:cNvPr id="6" name="Rechte verbindingslijn met pijl 5">
          <a:extLst>
            <a:ext uri="{FF2B5EF4-FFF2-40B4-BE49-F238E27FC236}">
              <a16:creationId xmlns:a16="http://schemas.microsoft.com/office/drawing/2014/main" id="{6A04EEF7-E9F9-D933-B0B2-3577010155DE}"/>
            </a:ext>
          </a:extLst>
        </xdr:cNvPr>
        <xdr:cNvCxnSpPr/>
      </xdr:nvCxnSpPr>
      <xdr:spPr>
        <a:xfrm>
          <a:off x="8655844" y="32515969"/>
          <a:ext cx="5941218" cy="11906"/>
        </a:xfrm>
        <a:prstGeom prst="straightConnector1">
          <a:avLst/>
        </a:prstGeom>
        <a:ln>
          <a:tailEnd type="triangle"/>
        </a:ln>
      </xdr:spPr>
      <xdr:style>
        <a:lnRef idx="3">
          <a:schemeClr val="accent2"/>
        </a:lnRef>
        <a:fillRef idx="0">
          <a:schemeClr val="accent2"/>
        </a:fillRef>
        <a:effectRef idx="2">
          <a:schemeClr val="accent2"/>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715962</xdr:colOff>
      <xdr:row>41</xdr:row>
      <xdr:rowOff>52388</xdr:rowOff>
    </xdr:from>
    <xdr:to>
      <xdr:col>6</xdr:col>
      <xdr:colOff>720497</xdr:colOff>
      <xdr:row>43</xdr:row>
      <xdr:rowOff>184944</xdr:rowOff>
    </xdr:to>
    <xdr:cxnSp macro="">
      <xdr:nvCxnSpPr>
        <xdr:cNvPr id="3" name="Rechte verbindingslijn met pijl 2">
          <a:extLst>
            <a:ext uri="{FF2B5EF4-FFF2-40B4-BE49-F238E27FC236}">
              <a16:creationId xmlns:a16="http://schemas.microsoft.com/office/drawing/2014/main" id="{272C20CF-EBDF-42D0-9D9A-B92AB0FBBD22}"/>
            </a:ext>
          </a:extLst>
        </xdr:cNvPr>
        <xdr:cNvCxnSpPr/>
      </xdr:nvCxnSpPr>
      <xdr:spPr>
        <a:xfrm flipH="1">
          <a:off x="7157243" y="11256169"/>
          <a:ext cx="4535" cy="537369"/>
        </a:xfrm>
        <a:prstGeom prst="straightConnector1">
          <a:avLst/>
        </a:prstGeom>
        <a:ln w="57150">
          <a:solidFill>
            <a:srgbClr val="FF0000"/>
          </a:solidFill>
          <a:tailEnd type="triangle"/>
        </a:ln>
      </xdr:spPr>
      <xdr:style>
        <a:lnRef idx="3">
          <a:schemeClr val="accent1"/>
        </a:lnRef>
        <a:fillRef idx="0">
          <a:schemeClr val="accent1"/>
        </a:fillRef>
        <a:effectRef idx="2">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32657</xdr:colOff>
      <xdr:row>23</xdr:row>
      <xdr:rowOff>107156</xdr:rowOff>
    </xdr:from>
    <xdr:to>
      <xdr:col>11</xdr:col>
      <xdr:colOff>821531</xdr:colOff>
      <xdr:row>30</xdr:row>
      <xdr:rowOff>111579</xdr:rowOff>
    </xdr:to>
    <xdr:cxnSp macro="">
      <xdr:nvCxnSpPr>
        <xdr:cNvPr id="4" name="Rechte verbindingslijn met pijl 3">
          <a:extLst>
            <a:ext uri="{FF2B5EF4-FFF2-40B4-BE49-F238E27FC236}">
              <a16:creationId xmlns:a16="http://schemas.microsoft.com/office/drawing/2014/main" id="{9DA8E12E-AC12-47C8-9138-34B4F31C95B9}"/>
            </a:ext>
          </a:extLst>
        </xdr:cNvPr>
        <xdr:cNvCxnSpPr/>
      </xdr:nvCxnSpPr>
      <xdr:spPr>
        <a:xfrm flipH="1">
          <a:off x="16701407" y="4488656"/>
          <a:ext cx="1979499" cy="1445079"/>
        </a:xfrm>
        <a:prstGeom prst="straightConnector1">
          <a:avLst/>
        </a:prstGeom>
        <a:ln w="57150">
          <a:solidFill>
            <a:srgbClr val="FF0000"/>
          </a:solidFill>
          <a:tailEnd type="triangle"/>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6</xdr:col>
      <xdr:colOff>107156</xdr:colOff>
      <xdr:row>31</xdr:row>
      <xdr:rowOff>119062</xdr:rowOff>
    </xdr:from>
    <xdr:to>
      <xdr:col>6</xdr:col>
      <xdr:colOff>1143000</xdr:colOff>
      <xdr:row>39</xdr:row>
      <xdr:rowOff>83343</xdr:rowOff>
    </xdr:to>
    <xdr:cxnSp macro="">
      <xdr:nvCxnSpPr>
        <xdr:cNvPr id="3" name="Rechte verbindingslijn met pijl 2">
          <a:extLst>
            <a:ext uri="{FF2B5EF4-FFF2-40B4-BE49-F238E27FC236}">
              <a16:creationId xmlns:a16="http://schemas.microsoft.com/office/drawing/2014/main" id="{96563313-6C6B-47C8-A59D-F09D6BA0F35D}"/>
            </a:ext>
          </a:extLst>
        </xdr:cNvPr>
        <xdr:cNvCxnSpPr/>
      </xdr:nvCxnSpPr>
      <xdr:spPr>
        <a:xfrm flipH="1">
          <a:off x="10596562" y="6215062"/>
          <a:ext cx="1035844" cy="1571625"/>
        </a:xfrm>
        <a:prstGeom prst="straightConnector1">
          <a:avLst/>
        </a:prstGeom>
        <a:ln w="57150">
          <a:solidFill>
            <a:srgbClr val="FF0000"/>
          </a:solidFill>
          <a:tailEnd type="triangle"/>
        </a:ln>
      </xdr:spPr>
      <xdr:style>
        <a:lnRef idx="3">
          <a:schemeClr val="accent2"/>
        </a:lnRef>
        <a:fillRef idx="0">
          <a:schemeClr val="accent2"/>
        </a:fillRef>
        <a:effectRef idx="2">
          <a:schemeClr val="accent2"/>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2226468</xdr:colOff>
      <xdr:row>22</xdr:row>
      <xdr:rowOff>214312</xdr:rowOff>
    </xdr:from>
    <xdr:to>
      <xdr:col>3</xdr:col>
      <xdr:colOff>178594</xdr:colOff>
      <xdr:row>31</xdr:row>
      <xdr:rowOff>59531</xdr:rowOff>
    </xdr:to>
    <xdr:cxnSp macro="">
      <xdr:nvCxnSpPr>
        <xdr:cNvPr id="2" name="Rechte verbindingslijn met pijl 1">
          <a:extLst>
            <a:ext uri="{FF2B5EF4-FFF2-40B4-BE49-F238E27FC236}">
              <a16:creationId xmlns:a16="http://schemas.microsoft.com/office/drawing/2014/main" id="{A87FB8D6-3DF5-472F-9A9D-D85EDE84A0C8}"/>
            </a:ext>
          </a:extLst>
        </xdr:cNvPr>
        <xdr:cNvCxnSpPr/>
      </xdr:nvCxnSpPr>
      <xdr:spPr>
        <a:xfrm>
          <a:off x="2833687" y="4310062"/>
          <a:ext cx="3726657" cy="2012157"/>
        </a:xfrm>
        <a:prstGeom prst="straightConnector1">
          <a:avLst/>
        </a:prstGeom>
        <a:ln w="38100">
          <a:solidFill>
            <a:srgbClr val="FF0000"/>
          </a:solidFill>
          <a:headEnd type="stealth"/>
          <a:tailEnd type="stealth"/>
        </a:ln>
      </xdr:spPr>
      <xdr:style>
        <a:lnRef idx="1">
          <a:schemeClr val="accent2"/>
        </a:lnRef>
        <a:fillRef idx="0">
          <a:schemeClr val="accent2"/>
        </a:fillRef>
        <a:effectRef idx="0">
          <a:schemeClr val="accent2"/>
        </a:effectRef>
        <a:fontRef idx="minor">
          <a:schemeClr val="tx1"/>
        </a:fontRef>
      </xdr:style>
    </xdr:cxn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s://www.belastingdienst.nl/wps/wcm/connect/bldcontentnl/belastingdienst/prive/vermogen_en_aanmerkelijk_belang/vermogen/belasting_betalen_over_uw_vermogen/heffingsvrij_vermogen/heffingsvrij_vermogen" TargetMode="External"/><Relationship Id="rId13" Type="http://schemas.openxmlformats.org/officeDocument/2006/relationships/hyperlink" Target="https://www.zorgwijzer.nl/faq/wat-is-de-inkomensafhankelijke-bijdrage" TargetMode="External"/><Relationship Id="rId18" Type="http://schemas.openxmlformats.org/officeDocument/2006/relationships/hyperlink" Target="https://www.rijksoverheid.nl/onderwerpen/hoger-onderwijs/vraag-en-antwoord/wanneer-moet-ik-collegegeld-betalen" TargetMode="External"/><Relationship Id="rId26" Type="http://schemas.openxmlformats.org/officeDocument/2006/relationships/hyperlink" Target="https://www.belastingdienst.nl/wps/wcm/connect/bldcontentnl/belastingdienst/zakelijk/winst/inkomstenbelasting/inkomstenbelasting_voor_ondernemers/ondernemersaftrek/meewerkaftrek" TargetMode="External"/><Relationship Id="rId3" Type="http://schemas.openxmlformats.org/officeDocument/2006/relationships/hyperlink" Target="https://www.belastingdienst.nl/wps/wcm/connect/bldcontentnl/belastingdienst/prive/inkomstenbelasting/heffingskortingen_boxen_tarieven/heffingskortingen/heffingskortingen_voor_aow_gerechtigden" TargetMode="External"/><Relationship Id="rId21" Type="http://schemas.openxmlformats.org/officeDocument/2006/relationships/hyperlink" Target="https://www.belastingdienst.nl/wps/wcm/connect/bldcontentnl/belastingdienst/prive/inkomstenbelasting/heffingskortingen_boxen_tarieven/heffingskortingen/inkomensafhankelijke_combikorting/inkomensafhankelijke-combinatiekorting" TargetMode="External"/><Relationship Id="rId7" Type="http://schemas.openxmlformats.org/officeDocument/2006/relationships/hyperlink" Target="https://www.belastingdienst.nl/wps/wcm/connect/bldcontentnl/belastingdienst/prive/inkomstenbelasting/heffingskortingen_boxen_tarieven/boxen_en_tarieven/overzicht_tarieven_en_schijven/" TargetMode="External"/><Relationship Id="rId12" Type="http://schemas.openxmlformats.org/officeDocument/2006/relationships/hyperlink" Target="https://www.belastingdienst.nl/rekenhulpen/toeslagen/" TargetMode="External"/><Relationship Id="rId17" Type="http://schemas.openxmlformats.org/officeDocument/2006/relationships/hyperlink" Target="https://www.rijksoverheid.nl/onderwerpen/achttien-jaar-worden/vraag-en-antwoord/wanneer-moet-ik-lesgeld-betalen" TargetMode="External"/><Relationship Id="rId25" Type="http://schemas.openxmlformats.org/officeDocument/2006/relationships/hyperlink" Target="https://www.belastingdienst.nl/wps/wcm/connect/nl/box-3/content/box-3-inkomen-op-voorlopige-aanslag-2024" TargetMode="External"/><Relationship Id="rId2" Type="http://schemas.openxmlformats.org/officeDocument/2006/relationships/hyperlink" Target="https://www.belastingdienst.nl/wps/wcm/connect/bldcontentnl/belastingdienst/prive/inkomstenbelasting/heffingskortingen_boxen_tarieven/heffingskortingen/heffingskortingen_voor_aow_gerechtigden" TargetMode="External"/><Relationship Id="rId16" Type="http://schemas.openxmlformats.org/officeDocument/2006/relationships/hyperlink" Target="https://www.belastingdienst.nl/rekenhulpen/toeslagen/" TargetMode="External"/><Relationship Id="rId20" Type="http://schemas.openxmlformats.org/officeDocument/2006/relationships/hyperlink" Target="https://www.belastingdienst.nl/wps/wcm/connect/bldcontentnl/belastingdienst/prive/relatie_familie_en_gezondheid/gezondheid/aftrek_zorgkosten/voorwaarden_aftrek_zorgkosten" TargetMode="External"/><Relationship Id="rId29" Type="http://schemas.openxmlformats.org/officeDocument/2006/relationships/vmlDrawing" Target="../drawings/vmlDrawing1.vml"/><Relationship Id="rId1" Type="http://schemas.openxmlformats.org/officeDocument/2006/relationships/hyperlink" Target="https://www.belastingdienst.nl/wps/wcm/connect/bldcontentnl/belastingdienst/prive/inkomstenbelasting/heffingskortingen_boxen_tarieven/boxen_en_tarieven/overzicht_tarieven_en_schijven/" TargetMode="External"/><Relationship Id="rId6" Type="http://schemas.openxmlformats.org/officeDocument/2006/relationships/hyperlink" Target="https://www.belastingdienst.nl/wps/wcm/connect/nl/koopwoning/content/hoe-werkt-eigenwoningforfait" TargetMode="External"/><Relationship Id="rId11" Type="http://schemas.openxmlformats.org/officeDocument/2006/relationships/hyperlink" Target="https://www.belastingdienst.nl/wps/wcm/connect/bldcontentnl/belastingdienst/prive/vermogen_en_aanmerkelijk_belang/vermogen/wat_zijn_uw_bezittingen_en_schulden/uw_schulden/drempel" TargetMode="External"/><Relationship Id="rId24" Type="http://schemas.openxmlformats.org/officeDocument/2006/relationships/hyperlink" Target="https://www.belastingdienst.nl/wps/wcm/connect/bldcontentnl/belastingdienst/prive/inkomstenbelasting/heffingskortingen_boxen_tarieven/heffingskortingen/arbeidskorting/arbeidskorting" TargetMode="External"/><Relationship Id="rId5" Type="http://schemas.openxmlformats.org/officeDocument/2006/relationships/hyperlink" Target="https://www.belastingdienst.nl/wps/wcm/connect/bldcontentnl/belastingdienst/prive/inkomstenbelasting/heffingskortingen_boxen_tarieven/boxen_en_tarieven/overzicht_tarieven_en_schijven/" TargetMode="External"/><Relationship Id="rId15" Type="http://schemas.openxmlformats.org/officeDocument/2006/relationships/hyperlink" Target="https://www.belastingdienst.nl/rekenhulpen/toeslagen/" TargetMode="External"/><Relationship Id="rId23" Type="http://schemas.openxmlformats.org/officeDocument/2006/relationships/hyperlink" Target="https://www.belastingdienst.nl/wps/wcm/connect/bldcontentnl/belastingdienst/prive/inkomstenbelasting/heffingskortingen_boxen_tarieven/heffingskortingen/algemene_heffingskorting/algemene_heffingskorting" TargetMode="External"/><Relationship Id="rId28" Type="http://schemas.openxmlformats.org/officeDocument/2006/relationships/drawing" Target="../drawings/drawing1.xml"/><Relationship Id="rId10" Type="http://schemas.openxmlformats.org/officeDocument/2006/relationships/hyperlink" Target="https://www.rijksoverheid.nl/onderwerpen/zorgverzekering/vraag-en-antwoord/eigen-risico-zorgverzekering" TargetMode="External"/><Relationship Id="rId19" Type="http://schemas.openxmlformats.org/officeDocument/2006/relationships/hyperlink" Target="https://www.svb.nl/nl/aow/aow-leeftijd/uw-aow-leeftijd" TargetMode="External"/><Relationship Id="rId4" Type="http://schemas.openxmlformats.org/officeDocument/2006/relationships/hyperlink" Target="https://www.belastingdienst.nl/wps/wcm/connect/bldcontentnl/belastingdienst/prive/inkomstenbelasting/heffingskortingen_boxen_tarieven/boxen_en_tarieven/overzicht_tarieven_en_schijven/" TargetMode="External"/><Relationship Id="rId9" Type="http://schemas.openxmlformats.org/officeDocument/2006/relationships/hyperlink" Target="https://www.socialedienstdrechtsteden.nl/bijstand/ik-heb-een-uitkering/hoe-hoog-is-een-bijstandsuitkering" TargetMode="External"/><Relationship Id="rId14" Type="http://schemas.openxmlformats.org/officeDocument/2006/relationships/hyperlink" Target="https://www.belastingdienst.nl/rekenhulpen/toeslagen/" TargetMode="External"/><Relationship Id="rId22" Type="http://schemas.openxmlformats.org/officeDocument/2006/relationships/hyperlink" Target="https://www.belastingdienst.nl/wps/wcm/connect/bldcontentnl/belastingdienst/prive/inkomstenbelasting/heffingskortingen_boxen_tarieven/heffingskortingen/inkomensafhankelijke_combikorting/inkomensafhankelijke-combinatiekorting" TargetMode="External"/><Relationship Id="rId27" Type="http://schemas.openxmlformats.org/officeDocument/2006/relationships/printerSettings" Target="../printerSettings/printerSettings4.bin"/><Relationship Id="rId30"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FF00"/>
    <pageSetUpPr fitToPage="1"/>
  </sheetPr>
  <dimension ref="A1:M42"/>
  <sheetViews>
    <sheetView showGridLines="0" zoomScale="80" zoomScaleNormal="80" workbookViewId="0">
      <pane ySplit="4" topLeftCell="A5" activePane="bottomLeft" state="frozen"/>
      <selection pane="bottomLeft"/>
    </sheetView>
  </sheetViews>
  <sheetFormatPr defaultRowHeight="15" x14ac:dyDescent="0.25"/>
  <cols>
    <col min="1" max="1" width="5.7109375" style="238" customWidth="1"/>
    <col min="2" max="2" width="23.7109375" customWidth="1"/>
    <col min="3" max="3" width="25.7109375" style="238" customWidth="1"/>
    <col min="4" max="4" width="20.7109375" customWidth="1"/>
    <col min="5" max="8" width="22.7109375" style="238" customWidth="1"/>
    <col min="9" max="9" width="18.7109375" customWidth="1"/>
    <col min="10" max="10" width="5.7109375" customWidth="1"/>
    <col min="11" max="11" width="25.7109375" customWidth="1"/>
    <col min="12" max="12" width="15.7109375" customWidth="1"/>
    <col min="13" max="13" width="25.7109375" customWidth="1"/>
  </cols>
  <sheetData>
    <row r="1" spans="1:12" ht="21.75" thickBot="1" x14ac:dyDescent="0.4">
      <c r="A1" s="283"/>
      <c r="B1" s="2234" t="s">
        <v>327</v>
      </c>
      <c r="C1" s="2245"/>
      <c r="D1" s="2245"/>
      <c r="E1" s="2245"/>
      <c r="F1" s="2245"/>
      <c r="G1" s="2245"/>
      <c r="H1" s="2246"/>
    </row>
    <row r="2" spans="1:12" ht="15.75" thickBot="1" x14ac:dyDescent="0.3"/>
    <row r="3" spans="1:12" ht="16.5" thickBot="1" x14ac:dyDescent="0.3">
      <c r="B3" s="2584" t="s">
        <v>341</v>
      </c>
      <c r="C3" s="2585"/>
      <c r="D3" s="811">
        <f>Basisgegevens!C16</f>
        <v>45474</v>
      </c>
      <c r="F3" s="462" t="s">
        <v>452</v>
      </c>
      <c r="G3" s="2586" t="str">
        <f>Basisgegevens!C22</f>
        <v>2024 - 2e halfjaar</v>
      </c>
      <c r="H3" s="2587"/>
    </row>
    <row r="4" spans="1:12" ht="15.75" thickBot="1" x14ac:dyDescent="0.3"/>
    <row r="5" spans="1:12" ht="19.5" thickBot="1" x14ac:dyDescent="0.35">
      <c r="B5" s="2592" t="str">
        <f>CONCATENATE(E14," is aan partneralimentatie verschuldigd")</f>
        <v>Alimentatie Plichtig is aan partneralimentatie verschuldigd</v>
      </c>
      <c r="C5" s="2593"/>
      <c r="D5" s="2593"/>
      <c r="E5" s="530" t="s">
        <v>54</v>
      </c>
      <c r="F5" s="531" t="s">
        <v>485</v>
      </c>
      <c r="H5" s="463"/>
    </row>
    <row r="6" spans="1:12" ht="18.75" x14ac:dyDescent="0.3">
      <c r="B6" s="2590" t="s">
        <v>486</v>
      </c>
      <c r="C6" s="2591"/>
      <c r="D6" s="2591"/>
      <c r="E6" s="532">
        <f ca="1">'Alimentatie 2024-02'!D$303</f>
        <v>0</v>
      </c>
      <c r="F6" s="533">
        <f ca="1">IF('Alimentatie 2024-02'!D$304&lt;0,0,'Alimentatie 2024-02'!D$304)</f>
        <v>0</v>
      </c>
    </row>
    <row r="7" spans="1:12" ht="19.5" thickBot="1" x14ac:dyDescent="0.35">
      <c r="B7" s="2594" t="s">
        <v>487</v>
      </c>
      <c r="C7" s="2595"/>
      <c r="D7" s="2595"/>
      <c r="E7" s="529">
        <f ca="1">Behoefteberekening!E$70</f>
        <v>317.53306666666668</v>
      </c>
      <c r="F7" s="534">
        <f ca="1">IF(Behoefteberekening!$F$70&lt;0,0,Behoefteberekening!$F$70)</f>
        <v>3810.3968</v>
      </c>
    </row>
    <row r="8" spans="1:12" ht="19.5" thickBot="1" x14ac:dyDescent="0.35">
      <c r="B8" s="2596" t="s">
        <v>488</v>
      </c>
      <c r="C8" s="2597"/>
      <c r="D8" s="2597"/>
      <c r="E8" s="787">
        <f ca="1">F8/12</f>
        <v>0</v>
      </c>
      <c r="F8" s="788">
        <f ca="1">Jusvergelijking!D107</f>
        <v>0</v>
      </c>
      <c r="G8" s="2565" t="str">
        <f ca="1">IF(OR(Jusvergelijking!$K$33&lt;-0.5,Jusvergelijking!$K$33&gt;0.5),"LET OP: Jusvergelijking (cel H12) klopt niet !!!","Jusvergelijking is Oke!")</f>
        <v>Jusvergelijking is Oke!</v>
      </c>
      <c r="H8" s="2563"/>
      <c r="I8" s="2564"/>
    </row>
    <row r="9" spans="1:12" ht="4.9000000000000004" customHeight="1" thickBot="1" x14ac:dyDescent="0.3">
      <c r="A9"/>
      <c r="C9"/>
      <c r="E9"/>
      <c r="F9"/>
      <c r="G9" s="568"/>
      <c r="H9"/>
    </row>
    <row r="10" spans="1:12" ht="19.5" thickBot="1" x14ac:dyDescent="0.35">
      <c r="B10" s="2588" t="s">
        <v>582</v>
      </c>
      <c r="C10" s="2589"/>
      <c r="D10" s="2589"/>
      <c r="E10" s="793">
        <f ca="1">(MIN(E6:E8))</f>
        <v>0</v>
      </c>
      <c r="F10" s="794">
        <f ca="1">(MIN(F6:F8))</f>
        <v>0</v>
      </c>
      <c r="G10" s="2562" t="s">
        <v>867</v>
      </c>
      <c r="H10" s="2563"/>
      <c r="I10" s="2564"/>
    </row>
    <row r="11" spans="1:12" ht="19.5" thickBot="1" x14ac:dyDescent="0.35">
      <c r="B11" s="2588" t="s">
        <v>584</v>
      </c>
      <c r="C11" s="2589"/>
      <c r="D11" s="2589"/>
      <c r="E11" s="793">
        <f>E15</f>
        <v>0</v>
      </c>
      <c r="F11" s="794">
        <f>E11*12</f>
        <v>0</v>
      </c>
      <c r="G11" s="786"/>
      <c r="H11" s="568"/>
    </row>
    <row r="12" spans="1:12" ht="19.5" thickBot="1" x14ac:dyDescent="0.35">
      <c r="B12" s="2598" t="s">
        <v>583</v>
      </c>
      <c r="C12" s="2599"/>
      <c r="D12" s="2599"/>
      <c r="E12" s="569">
        <f ca="1">SUM(E10:E11)</f>
        <v>0</v>
      </c>
      <c r="F12" s="1539">
        <f ca="1">SUM(F10:F11)</f>
        <v>0</v>
      </c>
      <c r="G12" s="786"/>
      <c r="H12" s="568"/>
    </row>
    <row r="13" spans="1:12" ht="15.75" thickBot="1" x14ac:dyDescent="0.3"/>
    <row r="14" spans="1:12" ht="15.75" thickBot="1" x14ac:dyDescent="0.3">
      <c r="A14" s="268" t="s">
        <v>240</v>
      </c>
      <c r="B14" s="2560" t="s">
        <v>4</v>
      </c>
      <c r="C14" s="2561"/>
      <c r="D14" s="2561"/>
      <c r="E14" s="476" t="str">
        <f>BGPartner_AP</f>
        <v>Alimentatie Plichtig</v>
      </c>
      <c r="F14" s="476" t="str">
        <f>BGPartner_AG</f>
        <v>Alimentatie Gerechtigd</v>
      </c>
      <c r="J14" s="242" t="s">
        <v>335</v>
      </c>
      <c r="K14" s="243" t="s">
        <v>330</v>
      </c>
      <c r="L14" s="246" t="s">
        <v>264</v>
      </c>
    </row>
    <row r="15" spans="1:12" x14ac:dyDescent="0.25">
      <c r="A15" s="184">
        <v>141</v>
      </c>
      <c r="B15" s="2555" t="str">
        <f>'Alimentatie 2024-02'!B$288</f>
        <v>Kinderalimentatie</v>
      </c>
      <c r="C15" s="2555"/>
      <c r="D15" s="2600"/>
      <c r="E15" s="789">
        <f>'Alimentatie 2024-02'!D$288</f>
        <v>0</v>
      </c>
      <c r="F15" s="490">
        <f>'Alimentatie 2024-02'!F$288</f>
        <v>0</v>
      </c>
      <c r="J15" s="241" t="s">
        <v>334</v>
      </c>
      <c r="K15" s="247" t="str">
        <f>BGPartner_AP</f>
        <v>Alimentatie Plichtig</v>
      </c>
      <c r="L15" s="248">
        <f>Basisgegevens!$C$5</f>
        <v>28440</v>
      </c>
    </row>
    <row r="16" spans="1:12" ht="15.75" thickBot="1" x14ac:dyDescent="0.3">
      <c r="A16" s="208">
        <v>141</v>
      </c>
      <c r="B16" s="2548" t="str">
        <f>'Alimentatie 2024-02'!B$289</f>
        <v>Verblijfskosten kinderen (Zorgkorting)</v>
      </c>
      <c r="C16" s="2548"/>
      <c r="D16" s="2601"/>
      <c r="E16" s="790">
        <f>'Alimentatie 2024-02'!D$289</f>
        <v>0</v>
      </c>
      <c r="F16" s="486">
        <f>'Alimentatie 2024-02'!F$289</f>
        <v>0</v>
      </c>
      <c r="J16" s="240" t="s">
        <v>333</v>
      </c>
      <c r="K16" s="249" t="str">
        <f>BGPartner_AG</f>
        <v>Alimentatie Gerechtigd</v>
      </c>
      <c r="L16" s="250">
        <f>Basisgegevens!$D$5</f>
        <v>28440</v>
      </c>
    </row>
    <row r="17" spans="1:13" ht="15.75" thickBot="1" x14ac:dyDescent="0.3">
      <c r="A17" s="10">
        <v>141</v>
      </c>
      <c r="B17" s="2569" t="str">
        <f>'Alimentatie 2024-02'!B$290</f>
        <v>Eigen aandeel kosten kinderen</v>
      </c>
      <c r="C17" s="2569"/>
      <c r="D17" s="2570"/>
      <c r="E17" s="791">
        <f>'Alimentatie 2024-02'!D$290</f>
        <v>0</v>
      </c>
      <c r="F17" s="487">
        <f>'Alimentatie 2024-02'!F$290</f>
        <v>0</v>
      </c>
    </row>
    <row r="18" spans="1:13" ht="15.75" thickBot="1" x14ac:dyDescent="0.3">
      <c r="A18" s="1378"/>
      <c r="B18" s="2573" t="str">
        <f>'Alimentatie 2024-02'!B291</f>
        <v>Kinderalimentatie per maand:</v>
      </c>
      <c r="C18" s="2574"/>
      <c r="D18" s="2575"/>
      <c r="E18" s="792">
        <f>SUM(E15:E17)</f>
        <v>0</v>
      </c>
      <c r="F18" s="122">
        <f>SUM(F15:F17)</f>
        <v>0</v>
      </c>
    </row>
    <row r="19" spans="1:13" ht="15.75" thickBot="1" x14ac:dyDescent="0.3">
      <c r="A19" s="264"/>
      <c r="B19" s="2571" t="s">
        <v>336</v>
      </c>
      <c r="C19" s="2572"/>
      <c r="D19" s="2572"/>
      <c r="E19" s="1632">
        <f ca="1">KAEigenAandeel</f>
        <v>0</v>
      </c>
    </row>
    <row r="20" spans="1:13" ht="15.75" thickBot="1" x14ac:dyDescent="0.3">
      <c r="B20" s="238"/>
    </row>
    <row r="21" spans="1:13" ht="15.75" thickBot="1" x14ac:dyDescent="0.3">
      <c r="A21" s="268" t="s">
        <v>240</v>
      </c>
      <c r="B21" s="2560" t="s">
        <v>102</v>
      </c>
      <c r="C21" s="2561"/>
      <c r="D21" s="2561"/>
      <c r="E21" s="1462" t="str">
        <f>BGPartner_AP</f>
        <v>Alimentatie Plichtig</v>
      </c>
      <c r="F21" s="257" t="str">
        <f>'Alimentatie 2024-02'!$E$2</f>
        <v>Kinderalimentatie</v>
      </c>
      <c r="G21" s="1495" t="str">
        <f>BGPartner_AG</f>
        <v>Alimentatie Gerechtigd</v>
      </c>
      <c r="H21" s="257" t="str">
        <f>'Alimentatie 2024-02'!$G$2</f>
        <v>Kinderalimentatie</v>
      </c>
      <c r="J21" s="132" t="s">
        <v>240</v>
      </c>
      <c r="K21" s="470" t="s">
        <v>331</v>
      </c>
      <c r="L21" s="244" t="s">
        <v>264</v>
      </c>
      <c r="M21" s="245" t="s">
        <v>332</v>
      </c>
    </row>
    <row r="22" spans="1:13" x14ac:dyDescent="0.25">
      <c r="A22" s="184">
        <v>64</v>
      </c>
      <c r="B22" s="2579" t="str">
        <f>'Alimentatie 2024-02'!B$56</f>
        <v>Belastbaar loon:</v>
      </c>
      <c r="C22" s="2580"/>
      <c r="D22" s="2581"/>
      <c r="E22" s="1547">
        <f>AL64BelastbaarLoon_AP</f>
        <v>0</v>
      </c>
      <c r="F22" s="469">
        <f>'Alimentatie 2024-02'!E$56</f>
        <v>0</v>
      </c>
      <c r="G22" s="1540">
        <f>AL64BelastbaarLoon_AG</f>
        <v>0</v>
      </c>
      <c r="H22" s="469">
        <f>'Alimentatie 2024-02'!G$56</f>
        <v>0</v>
      </c>
      <c r="J22" s="11">
        <v>1</v>
      </c>
      <c r="K22" s="471" t="str">
        <f>IF(TRIM(Basisgegevens!B$295)="","--",Basisgegevens!B$295)</f>
        <v>--</v>
      </c>
      <c r="L22" s="251" t="str">
        <f>IF(K22="--","--",Basisgegevens!E$295)</f>
        <v>--</v>
      </c>
      <c r="M22" s="252" t="str">
        <f>IF(K22="--","--",IF(Basisgegevens!C$295=1,$K$15,IF(Basisgegevens!D$295=1,$K$16,"--")))</f>
        <v>--</v>
      </c>
    </row>
    <row r="23" spans="1:13" x14ac:dyDescent="0.25">
      <c r="A23" s="208">
        <v>75</v>
      </c>
      <c r="B23" s="2566" t="str">
        <f>'Alimentatie 2024-02'!B$75</f>
        <v>Belastbare winst uit onderneming:</v>
      </c>
      <c r="C23" s="2567"/>
      <c r="D23" s="2568"/>
      <c r="E23" s="1548">
        <f>AL75BelastbareWinst_AP</f>
        <v>0</v>
      </c>
      <c r="F23" s="265">
        <f>'Alimentatie 2024-02'!E$75</f>
        <v>0</v>
      </c>
      <c r="G23" s="1541">
        <f>AL75BelastbareWinst_AG</f>
        <v>0</v>
      </c>
      <c r="H23" s="265">
        <f>'Alimentatie 2024-02'!G$75</f>
        <v>0</v>
      </c>
      <c r="J23" s="208">
        <v>2</v>
      </c>
      <c r="K23" s="472" t="str">
        <f>IF(TRIM(Basisgegevens!B$296)="","--",Basisgegevens!B$296)</f>
        <v>--</v>
      </c>
      <c r="L23" s="253" t="str">
        <f>IF(K23="--","--",Basisgegevens!E$296)</f>
        <v>--</v>
      </c>
      <c r="M23" s="254" t="str">
        <f>IF(K23="--","--",IF(Basisgegevens!C$296=1,$K$15,IF(Basisgegevens!D$296=1,$K$16,"--")))</f>
        <v>--</v>
      </c>
    </row>
    <row r="24" spans="1:13" x14ac:dyDescent="0.25">
      <c r="A24" s="208">
        <v>78</v>
      </c>
      <c r="B24" s="2566" t="str">
        <f>'Alimentatie 2024-02'!B$80</f>
        <v>Belastbaar resultaat uit overige werkzaamheden:</v>
      </c>
      <c r="C24" s="2567"/>
      <c r="D24" s="2568"/>
      <c r="E24" s="1548">
        <f>AL78OverigeWerkz_AP</f>
        <v>0</v>
      </c>
      <c r="F24" s="265">
        <f>'Alimentatie 2024-02'!E$80</f>
        <v>0</v>
      </c>
      <c r="G24" s="1541">
        <f>AL78OverigeWerkz_AG</f>
        <v>0</v>
      </c>
      <c r="H24" s="265">
        <f>'Alimentatie 2024-02'!G$80</f>
        <v>0</v>
      </c>
      <c r="J24" s="208">
        <v>3</v>
      </c>
      <c r="K24" s="472" t="str">
        <f>IF(TRIM(Basisgegevens!B$297)="","--",Basisgegevens!B$297)</f>
        <v>--</v>
      </c>
      <c r="L24" s="253" t="str">
        <f>IF(K24="--","--",Basisgegevens!E$297)</f>
        <v>--</v>
      </c>
      <c r="M24" s="254" t="str">
        <f>IF(K24="--","--",IF(Basisgegevens!C$297=1,$K$15,IF(Basisgegevens!D$297=1,$K$16,"--")))</f>
        <v>--</v>
      </c>
    </row>
    <row r="25" spans="1:13" x14ac:dyDescent="0.25">
      <c r="A25" s="208">
        <v>81</v>
      </c>
      <c r="B25" s="2566" t="str">
        <f>'Alimentatie 2024-02'!B$86</f>
        <v>Belastbare periodieke uitkeringen en verstrekkingen:</v>
      </c>
      <c r="C25" s="2567"/>
      <c r="D25" s="2568"/>
      <c r="E25" s="1548">
        <f>AL81PeriodiekeUitk_AP</f>
        <v>0</v>
      </c>
      <c r="F25" s="265">
        <f>'Alimentatie 2024-02'!E$86</f>
        <v>0</v>
      </c>
      <c r="G25" s="1541">
        <f>AL81PeriodiekeUitk_AG</f>
        <v>0</v>
      </c>
      <c r="H25" s="265">
        <f>'Alimentatie 2024-02'!G$86</f>
        <v>0</v>
      </c>
      <c r="J25" s="208">
        <v>4</v>
      </c>
      <c r="K25" s="472" t="str">
        <f>IF(TRIM(Basisgegevens!B$298)="","--",Basisgegevens!B$298)</f>
        <v>--</v>
      </c>
      <c r="L25" s="253" t="str">
        <f>IF(K25="--","--",Basisgegevens!E$298)</f>
        <v>--</v>
      </c>
      <c r="M25" s="254" t="str">
        <f>IF(K25="--","--",IF(Basisgegevens!C$298=1,$K$15,IF(Basisgegevens!D$298=1,$K$16,"--")))</f>
        <v>--</v>
      </c>
    </row>
    <row r="26" spans="1:13" x14ac:dyDescent="0.25">
      <c r="A26" s="208">
        <v>81</v>
      </c>
      <c r="B26" s="2566" t="str">
        <f>'Alimentatie 2024-02'!B$91</f>
        <v>OEW: Totaal fictief PA-inkomen verkregen via EWF / Rente:</v>
      </c>
      <c r="C26" s="2567"/>
      <c r="D26" s="2568"/>
      <c r="E26" s="1548">
        <f>IF(BGOEWRekenModule="Nee",0,AL81OEWFictiefInk_AP)</f>
        <v>0</v>
      </c>
      <c r="F26" s="265">
        <f>'Alimentatie 2024-02'!E$91</f>
        <v>0</v>
      </c>
      <c r="G26" s="1541">
        <f>IF(BGOEWRekenModule="Nee",0,AL81OEWFictiefInk_AG)</f>
        <v>0</v>
      </c>
      <c r="H26" s="265">
        <f>'Alimentatie 2024-02'!G$91</f>
        <v>0</v>
      </c>
      <c r="J26" s="208">
        <v>5</v>
      </c>
      <c r="K26" s="472" t="str">
        <f>IF(TRIM(Basisgegevens!B$299)="","--",Basisgegevens!B$299)</f>
        <v>--</v>
      </c>
      <c r="L26" s="253" t="str">
        <f>IF(K26="--","--",Basisgegevens!E$299)</f>
        <v>--</v>
      </c>
      <c r="M26" s="254" t="str">
        <f>IF(K26="--","--",IF(Basisgegevens!C$299=1,$K$15,IF(Basisgegevens!D$299=1,$K$16,"--")))</f>
        <v>--</v>
      </c>
    </row>
    <row r="27" spans="1:13" x14ac:dyDescent="0.25">
      <c r="A27" s="208">
        <v>85</v>
      </c>
      <c r="B27" s="2566" t="str">
        <f>'Alimentatie 2024-02'!B$102</f>
        <v>Belastbare inkomsten uit eigen woning:</v>
      </c>
      <c r="C27" s="2567"/>
      <c r="D27" s="2568"/>
      <c r="E27" s="1548">
        <f>AL85InkomstenEW_AP</f>
        <v>0</v>
      </c>
      <c r="F27" s="265">
        <f>'Alimentatie 2024-02'!E$102</f>
        <v>0</v>
      </c>
      <c r="G27" s="1541">
        <f>AL85InkomstenEW_AG</f>
        <v>0</v>
      </c>
      <c r="H27" s="265">
        <f>'Alimentatie 2024-02'!G$102</f>
        <v>0</v>
      </c>
      <c r="J27" s="208">
        <v>6</v>
      </c>
      <c r="K27" s="472" t="str">
        <f>IF(TRIM(Basisgegevens!B$300)="","--",Basisgegevens!B$300)</f>
        <v>--</v>
      </c>
      <c r="L27" s="253" t="str">
        <f>IF(K27="--","--",Basisgegevens!E$300)</f>
        <v>--</v>
      </c>
      <c r="M27" s="254" t="str">
        <f>IF(K27="--","--",IF(Basisgegevens!C$300=1,$K$15,IF(Basisgegevens!D$300=1,$K$16,"--")))</f>
        <v>--</v>
      </c>
    </row>
    <row r="28" spans="1:13" x14ac:dyDescent="0.25">
      <c r="A28" s="208">
        <v>89</v>
      </c>
      <c r="B28" s="2566" t="str">
        <f>'Alimentatie 2024-02'!B$108</f>
        <v>Uitgaven voor inkomensvoorziening:</v>
      </c>
      <c r="C28" s="2567"/>
      <c r="D28" s="2568"/>
      <c r="E28" s="1548">
        <f>AL89Inkomensvoorz_AP</f>
        <v>0</v>
      </c>
      <c r="F28" s="265">
        <f>'Alimentatie 2024-02'!E$108</f>
        <v>0</v>
      </c>
      <c r="G28" s="1541">
        <f>AL89Inkomensvoorz_AG</f>
        <v>0</v>
      </c>
      <c r="H28" s="265">
        <f>'Alimentatie 2024-02'!G$108</f>
        <v>0</v>
      </c>
      <c r="J28" s="208" t="s">
        <v>513</v>
      </c>
      <c r="K28" s="472" t="str">
        <f>IF(TRIM(Basisgegevens!B$301)="","--",Basisgegevens!B$301)</f>
        <v>--</v>
      </c>
      <c r="L28" s="253" t="str">
        <f>IF(K28="--","--",Basisgegevens!E$301)</f>
        <v>--</v>
      </c>
      <c r="M28" s="254" t="str">
        <f>IF(K28="--","--",IF(Basisgegevens!C$301=1,$K$15,IF(Basisgegevens!D$301=1,$K$16,"--")))</f>
        <v>--</v>
      </c>
    </row>
    <row r="29" spans="1:13" ht="15.75" thickBot="1" x14ac:dyDescent="0.3">
      <c r="A29" s="208">
        <v>90</v>
      </c>
      <c r="B29" s="2576" t="str">
        <f>'Alimentatie 2024-02'!B$110</f>
        <v>Uitgaven voor kinderopvang (vervallen):</v>
      </c>
      <c r="C29" s="2577"/>
      <c r="D29" s="2578"/>
      <c r="E29" s="1549">
        <f>AL90Kinderopvang_AP</f>
        <v>0</v>
      </c>
      <c r="F29" s="1372">
        <f>'Alimentatie 2024-02'!E$110</f>
        <v>0</v>
      </c>
      <c r="G29" s="1494">
        <f>AL90Kinderopvang_AG</f>
        <v>0</v>
      </c>
      <c r="H29" s="1372">
        <f>'Alimentatie 2024-02'!G$110</f>
        <v>0</v>
      </c>
      <c r="J29" s="208">
        <v>8</v>
      </c>
      <c r="K29" s="472" t="str">
        <f>IF(TRIM(Basisgegevens!B$302)="","--",Basisgegevens!B$302)</f>
        <v>--</v>
      </c>
      <c r="L29" s="253" t="str">
        <f>IF(K29="--","--",Basisgegevens!E$302)</f>
        <v>--</v>
      </c>
      <c r="M29" s="254" t="str">
        <f>IF(K29="--","--",IF(Basisgegevens!C$302=1,$K$15,IF(Basisgegevens!D$302=1,$K$16,"--")))</f>
        <v>--</v>
      </c>
    </row>
    <row r="30" spans="1:13" ht="15.75" thickBot="1" x14ac:dyDescent="0.3">
      <c r="A30" s="208">
        <v>94</v>
      </c>
      <c r="B30" s="2549" t="str">
        <f>'Alimentatie 2024-02'!B$129</f>
        <v>Belastbaar verzamelinkomen uit werk en woning (a t/m h) (Box I):</v>
      </c>
      <c r="C30" s="2550"/>
      <c r="D30" s="2551"/>
      <c r="E30" s="1550">
        <f>AL94VerzInkomen_AP</f>
        <v>0</v>
      </c>
      <c r="F30" s="1376">
        <f>'Alimentatie 2024-02'!E$129</f>
        <v>0</v>
      </c>
      <c r="G30" s="1542">
        <f>AL94VerzInkomen_AG</f>
        <v>0</v>
      </c>
      <c r="H30" s="1376">
        <f>'Alimentatie 2024-02'!G$129</f>
        <v>0</v>
      </c>
      <c r="J30" s="208">
        <v>9</v>
      </c>
      <c r="K30" s="472" t="str">
        <f>IF(TRIM(Basisgegevens!B$303)="","--",Basisgegevens!B$303)</f>
        <v>--</v>
      </c>
      <c r="L30" s="253" t="str">
        <f>IF(K30="--","--",Basisgegevens!E$303)</f>
        <v>--</v>
      </c>
      <c r="M30" s="254" t="str">
        <f>IF(K30="--","--",IF(Basisgegevens!C$303=1,$K$15,IF(Basisgegevens!D$303=1,$K$16,"--")))</f>
        <v>--</v>
      </c>
    </row>
    <row r="31" spans="1:13" ht="15.75" thickBot="1" x14ac:dyDescent="0.3">
      <c r="A31" s="208">
        <v>100</v>
      </c>
      <c r="B31" s="2549" t="str">
        <f>'Alimentatie 2024-02'!B$144&amp;" (Box 2)"</f>
        <v>Inkomen uit aanmerkelijk belang: (Box 2)</v>
      </c>
      <c r="C31" s="2550"/>
      <c r="D31" s="2551"/>
      <c r="E31" s="1550">
        <f>AL100InkAanmBelang_AP</f>
        <v>0</v>
      </c>
      <c r="F31" s="1376">
        <f>'Alimentatie 2024-02'!E$144</f>
        <v>0</v>
      </c>
      <c r="G31" s="1542">
        <f>AL100InkAanmBelang_AG</f>
        <v>0</v>
      </c>
      <c r="H31" s="1376">
        <f>'Alimentatie 2024-02'!G$144</f>
        <v>0</v>
      </c>
      <c r="J31" s="208">
        <v>10</v>
      </c>
      <c r="K31" s="472" t="str">
        <f>IF(TRIM(Basisgegevens!B$304)="","--",Basisgegevens!B$304)</f>
        <v>--</v>
      </c>
      <c r="L31" s="253" t="str">
        <f>IF(K31="--","--",Basisgegevens!E$304)</f>
        <v>--</v>
      </c>
      <c r="M31" s="254" t="str">
        <f>IF(K31="--","--",IF(Basisgegevens!C$304=1,$K$15,IF(Basisgegevens!D$304=1,$K$16,"--")))</f>
        <v>--</v>
      </c>
    </row>
    <row r="32" spans="1:13" x14ac:dyDescent="0.25">
      <c r="A32" s="208">
        <v>103</v>
      </c>
      <c r="B32" s="2552" t="str">
        <f>'Alimentatie 2024-02'!B$155</f>
        <v>Werkelijke vermogensinkomsten:</v>
      </c>
      <c r="C32" s="2553"/>
      <c r="D32" s="2553"/>
      <c r="E32" s="1551">
        <f>AL103WerkVemInk_AP</f>
        <v>0</v>
      </c>
      <c r="F32" s="1375">
        <f>'Alimentatie 2024-02'!E$155</f>
        <v>0</v>
      </c>
      <c r="G32" s="1543">
        <f>AL103WerkVemInk_AG</f>
        <v>0</v>
      </c>
      <c r="H32" s="1375">
        <f>'Alimentatie 2024-02'!G$155</f>
        <v>0</v>
      </c>
      <c r="J32" s="208">
        <v>11</v>
      </c>
      <c r="K32" s="472" t="str">
        <f>IF(TRIM(Basisgegevens!B$305)="","--",Basisgegevens!B$305)</f>
        <v>--</v>
      </c>
      <c r="L32" s="253" t="str">
        <f>IF(K32="--","--",Basisgegevens!E$305)</f>
        <v>--</v>
      </c>
      <c r="M32" s="254" t="str">
        <f>IF(K32="--","--",IF(Basisgegevens!C$305=1,$K$15,IF(Basisgegevens!D$305=1,$K$16,"--")))</f>
        <v>--</v>
      </c>
    </row>
    <row r="33" spans="1:13" ht="15.75" thickBot="1" x14ac:dyDescent="0.3">
      <c r="A33" s="208">
        <v>108</v>
      </c>
      <c r="B33" s="2556" t="str">
        <f>'Alimentatie 2024-02'!B$171</f>
        <v>Grondslag sparen en beleggen:</v>
      </c>
      <c r="C33" s="2557"/>
      <c r="D33" s="2557"/>
      <c r="E33" s="1549">
        <f>AL108GrondslagSenB_AP</f>
        <v>0</v>
      </c>
      <c r="F33" s="1372">
        <f>'Alimentatie 2024-02'!E$171</f>
        <v>0</v>
      </c>
      <c r="G33" s="1494">
        <f>AL108GrondslagSenB_AG</f>
        <v>0</v>
      </c>
      <c r="H33" s="563">
        <f>'Alimentatie 2024-02'!G$171</f>
        <v>0</v>
      </c>
      <c r="J33" s="10">
        <v>12</v>
      </c>
      <c r="K33" s="473" t="str">
        <f>IF(TRIM(Basisgegevens!B$306)="","--",Basisgegevens!B$306)</f>
        <v>--</v>
      </c>
      <c r="L33" s="255" t="str">
        <f>IF(K33="--","--",Basisgegevens!E$306)</f>
        <v>--</v>
      </c>
      <c r="M33" s="256" t="str">
        <f>IF(K33="--","--",IF(Basisgegevens!C$306=1,$K$15,IF(Basisgegevens!D$306=1,$K$16,"--")))</f>
        <v>--</v>
      </c>
    </row>
    <row r="34" spans="1:13" ht="15.75" thickBot="1" x14ac:dyDescent="0.3">
      <c r="A34" s="208">
        <v>111</v>
      </c>
      <c r="B34" s="2558" t="str">
        <f>'Alimentatie 2024-02'!B$175</f>
        <v>Belastbaar inkomen uit sparen en beleggen (Box III):</v>
      </c>
      <c r="C34" s="2559"/>
      <c r="D34" s="2559"/>
      <c r="E34" s="1550">
        <f>AL111InkomenBox3_AP</f>
        <v>0</v>
      </c>
      <c r="F34" s="1552">
        <f>'Alimentatie 2024-02'!E$175</f>
        <v>0</v>
      </c>
      <c r="G34" s="1542">
        <f>AL111InkomenBox3_AG</f>
        <v>0</v>
      </c>
      <c r="H34" s="1376">
        <f>'Alimentatie 2024-02'!G$175</f>
        <v>0</v>
      </c>
    </row>
    <row r="35" spans="1:13" x14ac:dyDescent="0.25">
      <c r="A35" s="208">
        <v>119</v>
      </c>
      <c r="B35" s="2547" t="str">
        <f>'Alimentatie 2024-02'!B$224</f>
        <v>Totaal Netto inkomsten (waaronder KGB):</v>
      </c>
      <c r="C35" s="2548"/>
      <c r="D35" s="2548"/>
      <c r="E35" s="1548">
        <f>'Alimentatie 2024-02'!D$216+'Alimentatie 2024-02'!D$224-'Alimentatie 2024-02'!D$227</f>
        <v>0</v>
      </c>
      <c r="F35" s="1553">
        <f>'Alimentatie 2024-02'!E$216+'Alimentatie 2024-02'!E$224-'Alimentatie 2024-02'!E$227</f>
        <v>0</v>
      </c>
      <c r="G35" s="1541">
        <f>'Alimentatie 2024-02'!F$216+'Alimentatie 2024-02'!F$224-'Alimentatie 2024-02'!F$227</f>
        <v>0</v>
      </c>
      <c r="H35" s="265">
        <f>'Alimentatie 2024-02'!G$216+'Alimentatie 2024-02'!G$224-'Alimentatie 2024-02'!G$227</f>
        <v>0</v>
      </c>
    </row>
    <row r="36" spans="1:13" x14ac:dyDescent="0.25">
      <c r="A36" s="208">
        <v>121</v>
      </c>
      <c r="B36" s="2547" t="str">
        <f>'Alimentatie 2024-02'!B$246</f>
        <v>Netto Besteedbaar Inkomen (NBI) per maand:</v>
      </c>
      <c r="C36" s="2548"/>
      <c r="D36" s="2548"/>
      <c r="E36" s="1548">
        <f ca="1">'Alimentatie 2024-02'!D$246</f>
        <v>0</v>
      </c>
      <c r="F36" s="265">
        <f ca="1">'Alimentatie 2024-02'!E$246</f>
        <v>0</v>
      </c>
      <c r="G36" s="1541">
        <f ca="1">'Alimentatie 2024-02'!F$246</f>
        <v>0</v>
      </c>
      <c r="H36" s="265">
        <f ca="1">'Alimentatie 2024-02'!G$246</f>
        <v>0</v>
      </c>
    </row>
    <row r="37" spans="1:13" x14ac:dyDescent="0.25">
      <c r="A37" s="208">
        <v>135</v>
      </c>
      <c r="B37" s="2547" t="str">
        <f>'Alimentatie 2024-02'!B$267</f>
        <v>Draagkrachtloos inkomen:</v>
      </c>
      <c r="C37" s="2548"/>
      <c r="D37" s="2548"/>
      <c r="E37" s="1548">
        <f ca="1">'Alimentatie 2024-02'!D$267</f>
        <v>1765</v>
      </c>
      <c r="F37" s="265">
        <f ca="1">'Alimentatie 2024-02'!E$267</f>
        <v>1765</v>
      </c>
      <c r="G37" s="1541">
        <f ca="1">'Alimentatie 2024-02'!F$267</f>
        <v>1765</v>
      </c>
      <c r="H37" s="265">
        <f ca="1">'Alimentatie 2024-02'!G$267</f>
        <v>1765</v>
      </c>
    </row>
    <row r="38" spans="1:13" ht="15.75" thickBot="1" x14ac:dyDescent="0.3">
      <c r="A38" s="208">
        <v>136</v>
      </c>
      <c r="B38" s="2556" t="str">
        <f>'Alimentatie 2024-02'!B$272</f>
        <v>Draagkrachtruimte:</v>
      </c>
      <c r="C38" s="2557"/>
      <c r="D38" s="2557"/>
      <c r="E38" s="1549">
        <f ca="1">'Alimentatie 2024-02'!D$272</f>
        <v>-1765</v>
      </c>
      <c r="F38" s="1372">
        <f ca="1">'Alimentatie 2024-02'!E$272</f>
        <v>-1765</v>
      </c>
      <c r="G38" s="1494">
        <f ca="1">'Alimentatie 2024-02'!F$272</f>
        <v>-1765</v>
      </c>
      <c r="H38" s="1372">
        <f ca="1">'Alimentatie 2024-02'!G$272</f>
        <v>-1765</v>
      </c>
    </row>
    <row r="39" spans="1:13" ht="15.75" thickBot="1" x14ac:dyDescent="0.3">
      <c r="A39" s="208">
        <v>137</v>
      </c>
      <c r="B39" s="2545" t="str">
        <f>'Alimentatie 2024-02'!B$277</f>
        <v>Beschikbaar voor partner en kinderalimentatie</v>
      </c>
      <c r="C39" s="2546"/>
      <c r="D39" s="2546"/>
      <c r="E39" s="1554">
        <f ca="1">'Alimentatie 2024-02'!D$277</f>
        <v>-1059</v>
      </c>
      <c r="F39" s="1374">
        <f ca="1">'Alimentatie 2024-02'!E$277</f>
        <v>-1235.5</v>
      </c>
      <c r="G39" s="1544">
        <f ca="1">'Alimentatie 2024-02'!F$277</f>
        <v>-1059</v>
      </c>
      <c r="H39" s="1374">
        <f ca="1">'Alimentatie 2024-02'!G$277</f>
        <v>-1235.5</v>
      </c>
    </row>
    <row r="40" spans="1:13" x14ac:dyDescent="0.25">
      <c r="A40" s="208">
        <v>137</v>
      </c>
      <c r="B40" s="2554" t="str">
        <f>'Alimentatie 2024-02'!B$278</f>
        <v>Andere onderhoudsverplichtingen</v>
      </c>
      <c r="C40" s="2555"/>
      <c r="D40" s="2555"/>
      <c r="E40" s="1555">
        <f>'Alimentatie 2024-02'!D$278</f>
        <v>0</v>
      </c>
      <c r="F40" s="1373">
        <f>'Alimentatie 2024-02'!E$278</f>
        <v>0</v>
      </c>
      <c r="G40" s="1545">
        <f>'Alimentatie 2024-02'!F$278</f>
        <v>0</v>
      </c>
      <c r="H40" s="1373">
        <f>'Alimentatie 2024-02'!G$278</f>
        <v>0</v>
      </c>
    </row>
    <row r="41" spans="1:13" x14ac:dyDescent="0.25">
      <c r="A41" s="208">
        <v>138</v>
      </c>
      <c r="B41" s="2547" t="str">
        <f>'Alimentatie 2024-02'!B$279</f>
        <v xml:space="preserve">Alimentatieverplichting (eerdere) ex-partner </v>
      </c>
      <c r="C41" s="2548"/>
      <c r="D41" s="2548"/>
      <c r="E41" s="1549">
        <f>'Alimentatie 2024-02'!D$279</f>
        <v>0</v>
      </c>
      <c r="F41" s="265" t="str">
        <f>'Alimentatie 2024-02'!E$279</f>
        <v>n.v.t</v>
      </c>
      <c r="G41" s="1494">
        <f>'Alimentatie 2024-02'!F$279</f>
        <v>0</v>
      </c>
      <c r="H41" s="1372" t="str">
        <f>'Alimentatie 2024-02'!G$279</f>
        <v>n.v.t</v>
      </c>
    </row>
    <row r="42" spans="1:13" ht="15.75" thickBot="1" x14ac:dyDescent="0.3">
      <c r="A42" s="10">
        <v>138</v>
      </c>
      <c r="B42" s="2582" t="str">
        <f>'Alimentatie 2024-02'!B$282</f>
        <v>OEW: Hypotheekrente betaald voor ex. partner als partneralimentatie</v>
      </c>
      <c r="C42" s="2583"/>
      <c r="D42" s="2583"/>
      <c r="E42" s="1556">
        <f>IF(BGOEWRekenModule="Nee",0,BGOEW138RentePA_AP)/12</f>
        <v>0</v>
      </c>
      <c r="F42" s="1377" t="s">
        <v>754</v>
      </c>
      <c r="G42" s="1546">
        <f>IF(BGOEWRekenModule="Nee",0,BGOEW138RentePA_AG)/12</f>
        <v>0</v>
      </c>
      <c r="H42" s="1377" t="s">
        <v>754</v>
      </c>
    </row>
  </sheetData>
  <sheetProtection algorithmName="SHA-512" hashValue="qXP0ulANc3UQFiU09qdPWHUQfveDRh02qxHz2Ccn+8enHQ3yxT8UJq1OF4XoxuJjC3qoh3hEwNJgiMkG4xYA0w==" saltValue="V8nqT8YqYvZukzdZHTmomw==" spinCount="100000" sheet="1" objects="1" scenarios="1"/>
  <mergeCells count="39">
    <mergeCell ref="B42:D42"/>
    <mergeCell ref="B3:C3"/>
    <mergeCell ref="G3:H3"/>
    <mergeCell ref="B14:D14"/>
    <mergeCell ref="B10:D10"/>
    <mergeCell ref="B6:D6"/>
    <mergeCell ref="B5:D5"/>
    <mergeCell ref="B7:D7"/>
    <mergeCell ref="B8:D8"/>
    <mergeCell ref="B11:D11"/>
    <mergeCell ref="B12:D12"/>
    <mergeCell ref="B15:D15"/>
    <mergeCell ref="B30:D30"/>
    <mergeCell ref="B33:D33"/>
    <mergeCell ref="B16:D16"/>
    <mergeCell ref="B27:D27"/>
    <mergeCell ref="B28:D28"/>
    <mergeCell ref="B26:D26"/>
    <mergeCell ref="B29:D29"/>
    <mergeCell ref="B24:D24"/>
    <mergeCell ref="B22:D22"/>
    <mergeCell ref="B21:D21"/>
    <mergeCell ref="G10:I10"/>
    <mergeCell ref="G8:I8"/>
    <mergeCell ref="B25:D25"/>
    <mergeCell ref="B17:D17"/>
    <mergeCell ref="B23:D23"/>
    <mergeCell ref="B19:D19"/>
    <mergeCell ref="B18:D18"/>
    <mergeCell ref="B39:D39"/>
    <mergeCell ref="B41:D41"/>
    <mergeCell ref="B31:D31"/>
    <mergeCell ref="B32:D32"/>
    <mergeCell ref="B35:D35"/>
    <mergeCell ref="B36:D36"/>
    <mergeCell ref="B37:D37"/>
    <mergeCell ref="B40:D40"/>
    <mergeCell ref="B38:D38"/>
    <mergeCell ref="B34:D34"/>
  </mergeCells>
  <conditionalFormatting sqref="E6:E8">
    <cfRule type="colorScale" priority="6">
      <colorScale>
        <cfvo type="min"/>
        <cfvo type="percentile" val="50"/>
        <cfvo type="max"/>
        <color rgb="FF63BE7B"/>
        <color rgb="FFFFEB84"/>
        <color rgb="FFFFC000"/>
      </colorScale>
    </cfRule>
  </conditionalFormatting>
  <conditionalFormatting sqref="F6:F8">
    <cfRule type="colorScale" priority="5">
      <colorScale>
        <cfvo type="min"/>
        <cfvo type="percentile" val="50"/>
        <cfvo type="max"/>
        <color rgb="FF63BE7B"/>
        <color rgb="FFFFEB84"/>
        <color rgb="FFFFC000"/>
      </colorScale>
    </cfRule>
  </conditionalFormatting>
  <pageMargins left="0.23622047244094491" right="0.23622047244094491" top="0.74803149606299213" bottom="0.74803149606299213" header="0.31496062992125984" footer="0.31496062992125984"/>
  <pageSetup paperSize="9" scale="78" orientation="portrait" blackAndWhite="1" horizontalDpi="4294967293"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2" tint="-0.499984740745262"/>
  </sheetPr>
  <dimension ref="A1:T9"/>
  <sheetViews>
    <sheetView showGridLines="0" zoomScale="80" zoomScaleNormal="80" workbookViewId="0"/>
  </sheetViews>
  <sheetFormatPr defaultRowHeight="15" x14ac:dyDescent="0.25"/>
  <cols>
    <col min="1" max="1" width="11.7109375" bestFit="1" customWidth="1"/>
    <col min="2" max="2" width="1.7109375" customWidth="1"/>
    <col min="3" max="3" width="11.7109375" bestFit="1" customWidth="1"/>
    <col min="4" max="4" width="1.7109375" customWidth="1"/>
    <col min="5" max="5" width="11.7109375" bestFit="1" customWidth="1"/>
    <col min="6" max="6" width="1.7109375" customWidth="1"/>
    <col min="8" max="8" width="1.7109375" customWidth="1"/>
    <col min="10" max="10" width="1.7109375" customWidth="1"/>
    <col min="12" max="12" width="1.7109375" customWidth="1"/>
    <col min="13" max="13" width="11.5703125" bestFit="1" customWidth="1"/>
    <col min="14" max="14" width="1.7109375" customWidth="1"/>
    <col min="15" max="15" width="21.28515625" bestFit="1" customWidth="1"/>
    <col min="16" max="16" width="1.7109375" customWidth="1"/>
    <col min="17" max="17" width="25.28515625" bestFit="1" customWidth="1"/>
    <col min="18" max="18" width="25.5703125" bestFit="1" customWidth="1"/>
    <col min="19" max="19" width="1.7109375" customWidth="1"/>
    <col min="20" max="20" width="16.85546875" bestFit="1" customWidth="1"/>
  </cols>
  <sheetData>
    <row r="1" spans="1:20" ht="15.75" thickBot="1" x14ac:dyDescent="0.3">
      <c r="A1" s="235" t="s">
        <v>849</v>
      </c>
      <c r="C1" s="235" t="s">
        <v>848</v>
      </c>
      <c r="E1" s="235" t="s">
        <v>847</v>
      </c>
      <c r="G1" s="235" t="s">
        <v>105</v>
      </c>
      <c r="I1" s="132" t="s">
        <v>263</v>
      </c>
      <c r="K1" s="132" t="s">
        <v>276</v>
      </c>
      <c r="M1" s="132" t="s">
        <v>57</v>
      </c>
      <c r="O1" s="132" t="s">
        <v>617</v>
      </c>
      <c r="Q1" s="236" t="s">
        <v>335</v>
      </c>
      <c r="R1" s="132" t="s">
        <v>682</v>
      </c>
      <c r="T1" s="132" t="s">
        <v>689</v>
      </c>
    </row>
    <row r="2" spans="1:20" x14ac:dyDescent="0.25">
      <c r="A2" s="601" t="s">
        <v>92</v>
      </c>
      <c r="C2" s="601" t="s">
        <v>92</v>
      </c>
      <c r="E2" s="601" t="s">
        <v>92</v>
      </c>
      <c r="G2" s="11" t="s">
        <v>106</v>
      </c>
      <c r="I2" s="184">
        <v>0</v>
      </c>
      <c r="K2" s="142">
        <v>0</v>
      </c>
      <c r="M2" s="142">
        <v>0.6</v>
      </c>
      <c r="O2" s="949" t="s">
        <v>615</v>
      </c>
      <c r="Q2" s="1148" t="s">
        <v>463</v>
      </c>
      <c r="R2" s="1150" t="str">
        <f>Basisgegevens!C4</f>
        <v>Alimentatie Plichtig</v>
      </c>
      <c r="T2" s="949" t="s">
        <v>57</v>
      </c>
    </row>
    <row r="3" spans="1:20" ht="15.75" thickBot="1" x14ac:dyDescent="0.3">
      <c r="A3" s="851" t="s">
        <v>93</v>
      </c>
      <c r="C3" s="851" t="s">
        <v>93</v>
      </c>
      <c r="E3" s="8" t="s">
        <v>184</v>
      </c>
      <c r="G3" s="10" t="s">
        <v>107</v>
      </c>
      <c r="I3" s="10">
        <v>1</v>
      </c>
      <c r="K3" s="143">
        <v>0.05</v>
      </c>
      <c r="M3" s="144">
        <v>0.45</v>
      </c>
      <c r="O3" s="183" t="s">
        <v>625</v>
      </c>
      <c r="Q3" s="1149" t="s">
        <v>462</v>
      </c>
      <c r="R3" s="1151" t="str">
        <f>Basisgegevens!D4</f>
        <v>Alimentatie Gerechtigd</v>
      </c>
      <c r="T3" s="8" t="s">
        <v>690</v>
      </c>
    </row>
    <row r="4" spans="1:20" ht="15.75" thickBot="1" x14ac:dyDescent="0.3">
      <c r="A4" s="8" t="s">
        <v>94</v>
      </c>
      <c r="C4" s="183" t="s">
        <v>603</v>
      </c>
      <c r="K4" s="143">
        <v>0.15</v>
      </c>
      <c r="O4" s="183" t="s">
        <v>616</v>
      </c>
      <c r="R4" s="1147" t="s">
        <v>704</v>
      </c>
    </row>
    <row r="5" spans="1:20" ht="15.75" thickBot="1" x14ac:dyDescent="0.3">
      <c r="C5" s="8" t="s">
        <v>94</v>
      </c>
      <c r="K5" s="143">
        <v>0.25</v>
      </c>
      <c r="O5" s="183" t="s">
        <v>817</v>
      </c>
    </row>
    <row r="6" spans="1:20" x14ac:dyDescent="0.25">
      <c r="K6" s="143">
        <v>0.35</v>
      </c>
      <c r="O6" s="952" t="s">
        <v>1120</v>
      </c>
    </row>
    <row r="7" spans="1:20" ht="15.75" thickBot="1" x14ac:dyDescent="0.3">
      <c r="K7" s="144">
        <v>0.45</v>
      </c>
      <c r="O7" s="952" t="s">
        <v>1121</v>
      </c>
    </row>
    <row r="8" spans="1:20" x14ac:dyDescent="0.25">
      <c r="K8" s="2541"/>
      <c r="O8" s="952" t="s">
        <v>818</v>
      </c>
    </row>
    <row r="9" spans="1:20" ht="15.75" thickBot="1" x14ac:dyDescent="0.3">
      <c r="O9" s="8" t="s">
        <v>619</v>
      </c>
    </row>
  </sheetData>
  <sheetProtection algorithmName="SHA-512" hashValue="XVpz/5+4rs55DeXLAbgDogcZYTnlh8as08oMKaBDvja0XegW4uFKyyZCjEfQR/E+D2gwcAW0x8bJqKJhzFgbNg==" saltValue="2ptL/b5XYYAwTZVraHMUE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A1297-E08D-4B2A-AE21-FABC639AE524}">
  <sheetPr>
    <tabColor rgb="FFFFFF00"/>
  </sheetPr>
  <dimension ref="A1:I52"/>
  <sheetViews>
    <sheetView showGridLines="0" zoomScale="80" zoomScaleNormal="80" workbookViewId="0"/>
  </sheetViews>
  <sheetFormatPr defaultColWidth="8.85546875" defaultRowHeight="15" x14ac:dyDescent="0.25"/>
  <cols>
    <col min="2" max="2" width="140.7109375" customWidth="1"/>
    <col min="3" max="3" width="50.7109375" customWidth="1"/>
    <col min="9" max="9" width="8.140625" bestFit="1" customWidth="1"/>
  </cols>
  <sheetData>
    <row r="1" spans="1:3" ht="21.75" thickBot="1" x14ac:dyDescent="0.4">
      <c r="A1" s="578"/>
      <c r="B1" s="579" t="s">
        <v>521</v>
      </c>
      <c r="C1" s="1603" t="s">
        <v>595</v>
      </c>
    </row>
    <row r="2" spans="1:3" ht="15.75" thickBot="1" x14ac:dyDescent="0.3">
      <c r="C2" s="672" t="str">
        <f>Basisgegevens!C22</f>
        <v>2024 - 2e halfjaar</v>
      </c>
    </row>
    <row r="3" spans="1:3" ht="15.75" thickBot="1" x14ac:dyDescent="0.3">
      <c r="A3" s="4" t="s">
        <v>526</v>
      </c>
      <c r="B3" s="4" t="s">
        <v>527</v>
      </c>
    </row>
    <row r="4" spans="1:3" ht="15.75" thickBot="1" x14ac:dyDescent="0.3">
      <c r="A4" s="9" t="s">
        <v>525</v>
      </c>
      <c r="B4" s="581" t="s">
        <v>524</v>
      </c>
    </row>
    <row r="5" spans="1:3" ht="28.9" customHeight="1" thickBot="1" x14ac:dyDescent="0.3">
      <c r="A5" s="589"/>
      <c r="B5" s="590" t="s">
        <v>522</v>
      </c>
    </row>
    <row r="6" spans="1:3" ht="28.9" customHeight="1" thickBot="1" x14ac:dyDescent="0.3">
      <c r="A6" s="587"/>
      <c r="B6" s="588" t="s">
        <v>523</v>
      </c>
    </row>
    <row r="7" spans="1:3" ht="28.9" customHeight="1" thickBot="1" x14ac:dyDescent="0.3">
      <c r="A7" s="586"/>
      <c r="B7" s="583" t="s">
        <v>528</v>
      </c>
    </row>
    <row r="8" spans="1:3" ht="28.9" customHeight="1" thickBot="1" x14ac:dyDescent="0.3">
      <c r="A8" s="147"/>
      <c r="B8" s="583" t="s">
        <v>532</v>
      </c>
    </row>
    <row r="9" spans="1:3" ht="28.9" customHeight="1" thickBot="1" x14ac:dyDescent="0.3">
      <c r="A9" s="585"/>
      <c r="B9" s="583" t="s">
        <v>529</v>
      </c>
    </row>
    <row r="10" spans="1:3" ht="28.9" customHeight="1" thickBot="1" x14ac:dyDescent="0.3">
      <c r="A10" s="584"/>
      <c r="B10" s="583" t="s">
        <v>531</v>
      </c>
    </row>
    <row r="11" spans="1:3" ht="28.9" customHeight="1" thickBot="1" x14ac:dyDescent="0.3">
      <c r="A11" s="582"/>
      <c r="B11" s="583" t="s">
        <v>530</v>
      </c>
    </row>
    <row r="12" spans="1:3" ht="14.45" customHeight="1" thickBot="1" x14ac:dyDescent="0.3">
      <c r="A12" s="580"/>
      <c r="B12" s="580"/>
      <c r="C12" s="663"/>
    </row>
    <row r="13" spans="1:3" ht="21.75" thickBot="1" x14ac:dyDescent="0.35">
      <c r="A13" s="596"/>
      <c r="B13" s="2204" t="s">
        <v>533</v>
      </c>
      <c r="C13" s="597"/>
    </row>
    <row r="15" spans="1:3" ht="16.5" thickBot="1" x14ac:dyDescent="0.3">
      <c r="B15" s="439" t="s">
        <v>542</v>
      </c>
    </row>
    <row r="16" spans="1:3" ht="15.75" thickBot="1" x14ac:dyDescent="0.3">
      <c r="A16" s="591">
        <v>1</v>
      </c>
      <c r="B16" s="592" t="s">
        <v>1025</v>
      </c>
      <c r="C16" s="593" t="s">
        <v>208</v>
      </c>
    </row>
    <row r="17" spans="1:9" x14ac:dyDescent="0.25">
      <c r="A17" s="184"/>
      <c r="B17" s="602" t="s">
        <v>535</v>
      </c>
      <c r="C17" s="594"/>
      <c r="D17" s="2"/>
      <c r="E17" s="2"/>
      <c r="F17" s="2"/>
      <c r="G17" s="2"/>
      <c r="H17" s="2"/>
      <c r="I17" s="2"/>
    </row>
    <row r="18" spans="1:9" ht="60" x14ac:dyDescent="0.25">
      <c r="A18" s="208"/>
      <c r="B18" s="614" t="s">
        <v>552</v>
      </c>
      <c r="C18" s="429" t="s">
        <v>534</v>
      </c>
      <c r="D18" s="2"/>
      <c r="E18" s="2"/>
      <c r="F18" s="2"/>
      <c r="G18" s="2"/>
      <c r="H18" s="2"/>
      <c r="I18" s="2"/>
    </row>
    <row r="19" spans="1:9" x14ac:dyDescent="0.25">
      <c r="A19" s="208" t="s">
        <v>539</v>
      </c>
      <c r="B19" s="599" t="s">
        <v>536</v>
      </c>
      <c r="C19" s="429"/>
      <c r="D19" s="2"/>
      <c r="E19" s="2"/>
      <c r="F19" s="2"/>
      <c r="G19" s="2"/>
      <c r="H19" s="2"/>
      <c r="I19" s="2"/>
    </row>
    <row r="20" spans="1:9" ht="270" x14ac:dyDescent="0.25">
      <c r="A20" s="208"/>
      <c r="B20" s="603" t="s">
        <v>1026</v>
      </c>
      <c r="C20" s="595" t="s">
        <v>612</v>
      </c>
      <c r="D20" s="2"/>
      <c r="E20" s="2"/>
      <c r="F20" s="2"/>
      <c r="G20" s="2"/>
      <c r="H20" s="2"/>
      <c r="I20" s="2"/>
    </row>
    <row r="21" spans="1:9" x14ac:dyDescent="0.25">
      <c r="A21" s="208" t="s">
        <v>540</v>
      </c>
      <c r="B21" s="599" t="s">
        <v>537</v>
      </c>
      <c r="C21" s="544"/>
      <c r="D21" s="2"/>
      <c r="E21" s="2"/>
      <c r="F21" s="2"/>
      <c r="G21" s="2"/>
      <c r="H21" s="2"/>
      <c r="I21" s="2"/>
    </row>
    <row r="22" spans="1:9" ht="45.75" thickBot="1" x14ac:dyDescent="0.3">
      <c r="A22" s="10"/>
      <c r="B22" s="604" t="s">
        <v>1027</v>
      </c>
      <c r="C22" s="545"/>
      <c r="D22" s="2"/>
      <c r="E22" s="2"/>
      <c r="F22" s="2"/>
      <c r="G22" s="2"/>
      <c r="H22" s="2"/>
      <c r="I22" s="2"/>
    </row>
    <row r="23" spans="1:9" ht="15.75" thickBot="1" x14ac:dyDescent="0.3">
      <c r="B23" s="2"/>
      <c r="C23" s="2"/>
      <c r="D23" s="2"/>
      <c r="E23" s="2"/>
      <c r="F23" s="2"/>
      <c r="G23" s="2"/>
      <c r="H23" s="2"/>
      <c r="I23" s="2"/>
    </row>
    <row r="24" spans="1:9" ht="15.75" thickBot="1" x14ac:dyDescent="0.3">
      <c r="A24" s="591" t="s">
        <v>833</v>
      </c>
      <c r="B24" s="592" t="s">
        <v>538</v>
      </c>
      <c r="C24" s="593" t="s">
        <v>208</v>
      </c>
      <c r="D24" s="2"/>
      <c r="E24" s="2"/>
      <c r="F24" s="2"/>
      <c r="G24" s="2"/>
      <c r="H24" s="2"/>
      <c r="I24" s="2"/>
    </row>
    <row r="25" spans="1:9" ht="28.9" customHeight="1" x14ac:dyDescent="0.25">
      <c r="A25" s="601"/>
      <c r="B25" s="1600" t="s">
        <v>1028</v>
      </c>
      <c r="C25" s="1232" t="s">
        <v>541</v>
      </c>
      <c r="D25" s="2"/>
      <c r="E25" s="2"/>
      <c r="F25" s="2"/>
      <c r="G25" s="2"/>
      <c r="H25" s="2"/>
      <c r="I25" s="2"/>
    </row>
    <row r="26" spans="1:9" ht="30" x14ac:dyDescent="0.25">
      <c r="A26" s="952"/>
      <c r="B26" s="1640" t="s">
        <v>835</v>
      </c>
      <c r="C26" s="1639"/>
    </row>
    <row r="27" spans="1:9" ht="15.75" thickBot="1" x14ac:dyDescent="0.3">
      <c r="B27" s="2"/>
      <c r="C27" s="2"/>
      <c r="D27" s="2"/>
      <c r="E27" s="2"/>
      <c r="F27" s="2"/>
      <c r="G27" s="2"/>
      <c r="H27" s="2"/>
      <c r="I27" s="2"/>
    </row>
    <row r="28" spans="1:9" ht="15.75" thickBot="1" x14ac:dyDescent="0.3">
      <c r="A28" s="591" t="s">
        <v>834</v>
      </c>
      <c r="B28" s="592" t="s">
        <v>894</v>
      </c>
      <c r="C28" s="593" t="s">
        <v>208</v>
      </c>
      <c r="D28" s="2"/>
      <c r="E28" s="2"/>
      <c r="F28" s="2"/>
      <c r="G28" s="2"/>
      <c r="H28" s="2"/>
      <c r="I28" s="2"/>
    </row>
    <row r="29" spans="1:9" ht="30" x14ac:dyDescent="0.25">
      <c r="A29" s="2602"/>
      <c r="B29" s="1598" t="s">
        <v>1029</v>
      </c>
      <c r="C29" s="594"/>
    </row>
    <row r="30" spans="1:9" ht="60" customHeight="1" thickBot="1" x14ac:dyDescent="0.3">
      <c r="A30" s="2603"/>
      <c r="B30" s="1601" t="s">
        <v>1030</v>
      </c>
      <c r="C30" s="1599" t="s">
        <v>541</v>
      </c>
    </row>
    <row r="31" spans="1:9" ht="15.75" thickBot="1" x14ac:dyDescent="0.3">
      <c r="B31" s="2"/>
      <c r="C31" s="2"/>
      <c r="D31" s="2"/>
      <c r="E31" s="2"/>
      <c r="F31" s="2"/>
      <c r="G31" s="2"/>
      <c r="H31" s="2"/>
      <c r="I31" s="2"/>
    </row>
    <row r="32" spans="1:9" ht="15.75" thickBot="1" x14ac:dyDescent="0.3">
      <c r="A32" s="591">
        <v>3</v>
      </c>
      <c r="B32" s="592" t="s">
        <v>543</v>
      </c>
      <c r="C32" s="593" t="s">
        <v>208</v>
      </c>
      <c r="D32" s="2"/>
      <c r="E32" s="2"/>
      <c r="F32" s="2"/>
      <c r="G32" s="2"/>
      <c r="H32" s="2"/>
      <c r="I32" s="2"/>
    </row>
    <row r="33" spans="1:9" ht="45.75" thickBot="1" x14ac:dyDescent="0.3">
      <c r="A33" s="1641"/>
      <c r="B33" s="1642" t="s">
        <v>1031</v>
      </c>
      <c r="C33" s="1643"/>
      <c r="D33" s="2"/>
      <c r="E33" s="2"/>
      <c r="F33" s="2"/>
      <c r="G33" s="2"/>
      <c r="H33" s="2"/>
      <c r="I33" s="2"/>
    </row>
    <row r="34" spans="1:9" ht="45.75" thickBot="1" x14ac:dyDescent="0.3">
      <c r="A34" s="2203"/>
      <c r="B34" s="1644" t="s">
        <v>969</v>
      </c>
      <c r="C34" s="1645" t="s">
        <v>553</v>
      </c>
      <c r="D34" s="2"/>
      <c r="E34" s="2"/>
      <c r="F34" s="2"/>
      <c r="G34" s="2"/>
      <c r="H34" s="2"/>
      <c r="I34" s="2"/>
    </row>
    <row r="35" spans="1:9" ht="15.75" thickBot="1" x14ac:dyDescent="0.3"/>
    <row r="36" spans="1:9" ht="15.75" thickBot="1" x14ac:dyDescent="0.3">
      <c r="A36" s="591"/>
      <c r="B36" s="592" t="s">
        <v>545</v>
      </c>
      <c r="C36" s="593" t="s">
        <v>208</v>
      </c>
    </row>
    <row r="37" spans="1:9" x14ac:dyDescent="0.25">
      <c r="A37" s="601"/>
      <c r="B37" s="598" t="s">
        <v>544</v>
      </c>
      <c r="C37" s="594"/>
    </row>
    <row r="38" spans="1:9" x14ac:dyDescent="0.25">
      <c r="A38" s="183"/>
      <c r="B38" s="599" t="s">
        <v>613</v>
      </c>
      <c r="C38" s="429"/>
    </row>
    <row r="39" spans="1:9" x14ac:dyDescent="0.25">
      <c r="A39" s="183"/>
      <c r="B39" s="599" t="s">
        <v>556</v>
      </c>
      <c r="C39" s="429"/>
    </row>
    <row r="40" spans="1:9" x14ac:dyDescent="0.25">
      <c r="A40" s="183"/>
      <c r="B40" s="599" t="s">
        <v>970</v>
      </c>
      <c r="C40" s="429"/>
    </row>
    <row r="41" spans="1:9" x14ac:dyDescent="0.25">
      <c r="A41" s="183"/>
      <c r="B41" s="599" t="s">
        <v>971</v>
      </c>
      <c r="C41" s="429"/>
    </row>
    <row r="42" spans="1:9" ht="15.75" thickBot="1" x14ac:dyDescent="0.3">
      <c r="A42" s="8"/>
      <c r="B42" s="600" t="s">
        <v>972</v>
      </c>
      <c r="C42" s="452"/>
    </row>
    <row r="43" spans="1:9" ht="15.75" thickBot="1" x14ac:dyDescent="0.3"/>
    <row r="44" spans="1:9" ht="19.5" thickBot="1" x14ac:dyDescent="0.35">
      <c r="A44" s="607"/>
      <c r="B44" s="605" t="s">
        <v>546</v>
      </c>
      <c r="C44" s="606"/>
    </row>
    <row r="45" spans="1:9" ht="28.9" customHeight="1" x14ac:dyDescent="0.25">
      <c r="A45" s="610" t="s">
        <v>551</v>
      </c>
      <c r="B45" s="2604" t="s">
        <v>973</v>
      </c>
      <c r="C45" s="2605"/>
    </row>
    <row r="46" spans="1:9" ht="28.9" customHeight="1" thickBot="1" x14ac:dyDescent="0.3">
      <c r="A46" s="611" t="s">
        <v>550</v>
      </c>
      <c r="B46" s="2606" t="s">
        <v>547</v>
      </c>
      <c r="C46" s="2607"/>
    </row>
    <row r="47" spans="1:9" ht="15.75" thickBot="1" x14ac:dyDescent="0.3"/>
    <row r="48" spans="1:9" ht="19.5" thickBot="1" x14ac:dyDescent="0.35">
      <c r="A48" s="612"/>
      <c r="B48" s="608" t="s">
        <v>548</v>
      </c>
      <c r="C48" s="609"/>
    </row>
    <row r="49" spans="1:3" ht="37.15" customHeight="1" thickBot="1" x14ac:dyDescent="0.35">
      <c r="A49" s="613" t="s">
        <v>549</v>
      </c>
      <c r="B49" s="2608" t="s">
        <v>1032</v>
      </c>
      <c r="C49" s="2609"/>
    </row>
    <row r="50" spans="1:3" ht="15.75" thickBot="1" x14ac:dyDescent="0.3"/>
    <row r="51" spans="1:3" ht="19.5" thickBot="1" x14ac:dyDescent="0.35">
      <c r="A51" s="1602"/>
      <c r="B51" s="2612" t="s">
        <v>561</v>
      </c>
      <c r="C51" s="2613"/>
    </row>
    <row r="52" spans="1:3" ht="54.95" customHeight="1" thickBot="1" x14ac:dyDescent="0.3">
      <c r="A52" s="613" t="s">
        <v>549</v>
      </c>
      <c r="B52" s="2610" t="s">
        <v>895</v>
      </c>
      <c r="C52" s="2611"/>
    </row>
  </sheetData>
  <sheetProtection algorithmName="SHA-512" hashValue="YZqzpc/EMQDe1RBbMibqGQ8cAigOFvFaexVLmwOJYKn82NM8ECAwkur96RzclGuFc2Mwh1ZNmnNZS2wl5eSwVA==" saltValue="oV6nje7oG/aCV0Mp86Y35A==" spinCount="100000" sheet="1" objects="1" scenarios="1"/>
  <mergeCells count="6">
    <mergeCell ref="A29:A30"/>
    <mergeCell ref="B45:C45"/>
    <mergeCell ref="B46:C46"/>
    <mergeCell ref="B49:C49"/>
    <mergeCell ref="B52:C52"/>
    <mergeCell ref="B51:C5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tabColor rgb="FF00B0F0"/>
  </sheetPr>
  <dimension ref="A1:I671"/>
  <sheetViews>
    <sheetView showGridLines="0" zoomScale="80" zoomScaleNormal="80" workbookViewId="0">
      <pane xSplit="1" ySplit="2" topLeftCell="B3" activePane="bottomRight" state="frozen"/>
      <selection pane="topRight" activeCell="C1" sqref="C1"/>
      <selection pane="bottomLeft" activeCell="A5" sqref="A5"/>
      <selection pane="bottomRight"/>
    </sheetView>
  </sheetViews>
  <sheetFormatPr defaultColWidth="9.140625" defaultRowHeight="15" outlineLevelRow="1" x14ac:dyDescent="0.25"/>
  <cols>
    <col min="1" max="1" width="9.140625" style="3"/>
    <col min="2" max="2" width="82.7109375" style="52" customWidth="1"/>
    <col min="3" max="3" width="3.85546875" style="3" bestFit="1" customWidth="1"/>
    <col min="4" max="7" width="23.7109375" style="148" customWidth="1"/>
    <col min="8" max="8" width="70.7109375" style="91" customWidth="1"/>
    <col min="9" max="9" width="9.140625" style="18"/>
    <col min="10" max="16384" width="9.140625" style="1"/>
  </cols>
  <sheetData>
    <row r="1" spans="1:9" ht="24" thickBot="1" x14ac:dyDescent="0.3">
      <c r="B1" s="1998" t="s">
        <v>873</v>
      </c>
      <c r="D1" s="456" t="str">
        <f>Basisgegevens!P179</f>
        <v>--</v>
      </c>
      <c r="F1" s="456" t="str">
        <f>Basisgegevens!Q179</f>
        <v>--</v>
      </c>
      <c r="I1" s="18">
        <v>1</v>
      </c>
    </row>
    <row r="2" spans="1:9" s="149" customFormat="1" ht="16.5" thickBot="1" x14ac:dyDescent="0.3">
      <c r="A2" s="1999" t="s">
        <v>791</v>
      </c>
      <c r="B2" s="381" t="s">
        <v>222</v>
      </c>
      <c r="C2" s="907" t="s">
        <v>207</v>
      </c>
      <c r="D2" s="2544" t="str">
        <f>BGPartner_AP</f>
        <v>Alimentatie Plichtig</v>
      </c>
      <c r="E2" s="919" t="s">
        <v>4</v>
      </c>
      <c r="F2" s="2544" t="str">
        <f>BGPartner_AG</f>
        <v>Alimentatie Gerechtigd</v>
      </c>
      <c r="G2" s="905" t="s">
        <v>4</v>
      </c>
      <c r="H2" s="1719" t="s">
        <v>206</v>
      </c>
      <c r="I2" s="2338" t="s">
        <v>790</v>
      </c>
    </row>
    <row r="3" spans="1:9" ht="15.75" thickBot="1" x14ac:dyDescent="0.3">
      <c r="A3" s="1819"/>
      <c r="B3" s="112"/>
      <c r="C3" s="1820"/>
      <c r="D3" s="1794"/>
      <c r="E3" s="922"/>
      <c r="F3" s="1794"/>
      <c r="G3" s="922"/>
      <c r="H3" s="1757"/>
      <c r="I3" s="161">
        <v>3</v>
      </c>
    </row>
    <row r="4" spans="1:9" ht="21.75" thickBot="1" x14ac:dyDescent="0.3">
      <c r="A4" s="1424"/>
      <c r="B4" s="157" t="s">
        <v>223</v>
      </c>
      <c r="C4" s="189"/>
      <c r="D4" s="866"/>
      <c r="E4" s="890"/>
      <c r="F4" s="866"/>
      <c r="G4" s="866"/>
      <c r="H4" s="1720"/>
      <c r="I4" s="2339">
        <v>4</v>
      </c>
    </row>
    <row r="5" spans="1:9" ht="19.5" thickBot="1" x14ac:dyDescent="0.3">
      <c r="A5" s="1442"/>
      <c r="B5" s="1175" t="s">
        <v>289</v>
      </c>
      <c r="C5" s="1714"/>
      <c r="D5" s="1176"/>
      <c r="E5" s="1177"/>
      <c r="F5" s="1176"/>
      <c r="G5" s="1176"/>
      <c r="H5" s="1721"/>
      <c r="I5" s="2340">
        <v>5</v>
      </c>
    </row>
    <row r="6" spans="1:9" ht="45" outlineLevel="1" x14ac:dyDescent="0.25">
      <c r="A6" s="1526">
        <v>41</v>
      </c>
      <c r="B6" s="83" t="s">
        <v>906</v>
      </c>
      <c r="C6" s="190" t="s">
        <v>74</v>
      </c>
      <c r="D6" s="995">
        <f>IF(AND(BG060Jaaropgave1_AP&lt;&gt;0,BG060Jaaropgave2_AP&lt;&gt;0),"zie jaarloon (60)",IF(AND(BG060Jaaropgave1_AP&lt;&gt;0,BG060Jaaropgave2_AP=0),Basisgegevens!D59,IF(AND(BG060Jaaropgave1_AP=0,BG060Jaaropgave2_AP&lt;&gt;0),Basisgegevens!D43,Basisgegevens!D43+Basisgegevens!D59)))</f>
        <v>0</v>
      </c>
      <c r="E6" s="2626" t="s">
        <v>260</v>
      </c>
      <c r="F6" s="302">
        <f>IF(AND(BG060Jaaropgave1_AG&lt;&gt;0,BG060Jaaropgave2_AG&lt;&gt;0),"zie jaarloon (60)",IF(AND(BG060Jaaropgave1_AG&lt;&gt;0,BG060Jaaropgave2_AG=0),Basisgegevens!F59,IF(AND(BG060Jaaropgave1_AG=0,BG060Jaaropgave2_AG&lt;&gt;0),Basisgegevens!F43,Basisgegevens!F43+Basisgegevens!F59)))</f>
        <v>0</v>
      </c>
      <c r="G6" s="2626" t="s">
        <v>260</v>
      </c>
      <c r="H6" s="1722" t="s">
        <v>352</v>
      </c>
      <c r="I6" s="28">
        <v>6</v>
      </c>
    </row>
    <row r="7" spans="1:9" ht="30" customHeight="1" outlineLevel="1" x14ac:dyDescent="0.25">
      <c r="A7" s="81">
        <v>44</v>
      </c>
      <c r="B7" s="84" t="s">
        <v>805</v>
      </c>
      <c r="C7" s="191" t="s">
        <v>74</v>
      </c>
      <c r="D7" s="874">
        <f>IF(AND(BG060Jaaropgave1_AP&lt;&gt;0,BG060Jaaropgave2_AP&lt;&gt;0),"zie jaarloon (60)",IF(AND(BG060Jaaropgave1_AP&lt;&gt;0,BG060Jaaropgave2_AP=0),Basisgegevens!D61,IF(AND(BG060Jaaropgave1_AP=0,BG060Jaaropgave2_AP&lt;&gt;0),Basisgegevens!D45,Basisgegevens!D45+Basisgegevens!D61)))</f>
        <v>0</v>
      </c>
      <c r="E7" s="2618"/>
      <c r="F7" s="303">
        <f>IF(AND(BG060Jaaropgave1_AG&lt;&gt;0,BG060Jaaropgave2_AG&lt;&gt;0),"zie jaarloon (60)",IF(AND(BG060Jaaropgave1_AG&lt;&gt;0,BG060Jaaropgave2_AG=0),SUM(Basisgegevens!F61+Basisgegevens!F130),IF(AND(BG060Jaaropgave1_AG=0,BG060Jaaropgave2_AG&lt;&gt;0),SUM(Basisgegevens!F45+Basisgegevens!F130),Basisgegevens!F45+Basisgegevens!F61)))</f>
        <v>0</v>
      </c>
      <c r="G7" s="2618"/>
      <c r="H7" s="1723" t="s">
        <v>163</v>
      </c>
      <c r="I7" s="66">
        <v>7</v>
      </c>
    </row>
    <row r="8" spans="1:9" ht="30" outlineLevel="1" x14ac:dyDescent="0.25">
      <c r="A8" s="81">
        <v>46</v>
      </c>
      <c r="B8" s="84" t="s">
        <v>351</v>
      </c>
      <c r="C8" s="191" t="s">
        <v>74</v>
      </c>
      <c r="D8" s="874">
        <f>IF(AND(BG060Jaaropgave1_AP&lt;&gt;0,BG060Jaaropgave2_AP&lt;&gt;0),"zie jaarloon (60)",IF(AND(BG060Jaaropgave1_AP&lt;&gt;0,BG060Jaaropgave2_AP=0),Basisgegevens!D60,IF(AND(BG060Jaaropgave1_AP=0,BG060Jaaropgave2_AP&lt;&gt;0),Basisgegevens!D44,Basisgegevens!D44+Basisgegevens!D60)))</f>
        <v>0</v>
      </c>
      <c r="E8" s="2618"/>
      <c r="F8" s="303">
        <f>IF(AND(BG060Jaaropgave1_AG&lt;&gt;0,BG060Jaaropgave2_AG&lt;&gt;0),"zie jaarloon (60)",IF(AND(BG060Jaaropgave1_AG&lt;&gt;0,BG060Jaaropgave2_AG=0),Basisgegevens!F60,IF(AND(BG060Jaaropgave1_AG=0,BG060Jaaropgave2_AG&lt;&gt;0),Basisgegevens!F44,Basisgegevens!F44+Basisgegevens!F60)))</f>
        <v>0</v>
      </c>
      <c r="G8" s="2618"/>
      <c r="H8" s="1723" t="s">
        <v>160</v>
      </c>
      <c r="I8" s="66">
        <v>8</v>
      </c>
    </row>
    <row r="9" spans="1:9" outlineLevel="1" x14ac:dyDescent="0.25">
      <c r="A9" s="81">
        <v>47</v>
      </c>
      <c r="B9" s="84" t="s">
        <v>1107</v>
      </c>
      <c r="C9" s="191" t="s">
        <v>74</v>
      </c>
      <c r="D9" s="874">
        <f>IF(AND(BG060Jaaropgave1_AP&lt;&gt;0,BG060Jaaropgave2_AP&lt;&gt;0),"zie jaarloon (60)",IF(AND(BG060Jaaropgave1_AP&lt;&gt;0,BG060Jaaropgave2_AP=0),Basisgegevens!D63,IF(AND(BG060Jaaropgave1_AP=0,BG060Jaaropgave2_AP&lt;&gt;0),Basisgegevens!D47,Basisgegevens!D47+Basisgegevens!D63)))</f>
        <v>0</v>
      </c>
      <c r="E9" s="2618"/>
      <c r="F9" s="303">
        <f>IF(AND(BG060Jaaropgave1_AG&lt;&gt;0,BG060Jaaropgave2_AG&lt;&gt;0),"zie jaarloon (60)",IF(AND(BG060Jaaropgave1_AG&lt;&gt;0,BG060Jaaropgave2_AG=0),Basisgegevens!F63,IF(AND(BG060Jaaropgave1_AG=0,BG060Jaaropgave2_AG&lt;&gt;0),Basisgegevens!F47,Basisgegevens!F47+Basisgegevens!F63)))</f>
        <v>0</v>
      </c>
      <c r="G9" s="2618"/>
      <c r="H9" s="1723"/>
      <c r="I9" s="66">
        <v>9</v>
      </c>
    </row>
    <row r="10" spans="1:9" ht="30" outlineLevel="1" x14ac:dyDescent="0.25">
      <c r="A10" s="81">
        <v>48</v>
      </c>
      <c r="B10" s="84" t="s">
        <v>998</v>
      </c>
      <c r="C10" s="191" t="s">
        <v>74</v>
      </c>
      <c r="D10" s="874">
        <f>IF(AND(BG060Jaaropgave1_AP&lt;&gt;0,BG060Jaaropgave2_AP&lt;&gt;0),"zie jaarloon (60)",IF(AND(BG060Jaaropgave1_AP&lt;&gt;0,BG060Jaaropgave2_AP=0),Basisgegevens!D64,IF(AND(BG060Jaaropgave1_AP=0,BG060Jaaropgave2_AP&lt;&gt;0),Basisgegevens!D48,Basisgegevens!D48+Basisgegevens!D64)))</f>
        <v>0</v>
      </c>
      <c r="E10" s="2618"/>
      <c r="F10" s="874">
        <f>IF(AND(BG060Jaaropgave1_AG&lt;&gt;0,BG060Jaaropgave2_AG&lt;&gt;0),"zie jaarloon (60)",IF(AND(BG060Jaaropgave1_AG&lt;&gt;0,BG060Jaaropgave2_AG=0),Basisgegevens!F64,IF(AND(BG060Jaaropgave1_AG=0,BG060Jaaropgave2_AG&lt;&gt;0),Basisgegevens!F48,Basisgegevens!F48+Basisgegevens!F64)))</f>
        <v>0</v>
      </c>
      <c r="G10" s="2618"/>
      <c r="H10" s="1723" t="s">
        <v>162</v>
      </c>
      <c r="I10" s="66">
        <v>10</v>
      </c>
    </row>
    <row r="11" spans="1:9" ht="15.75" outlineLevel="1" thickBot="1" x14ac:dyDescent="0.3">
      <c r="A11" s="150" t="s">
        <v>677</v>
      </c>
      <c r="B11" s="94" t="s">
        <v>679</v>
      </c>
      <c r="C11" s="199" t="s">
        <v>74</v>
      </c>
      <c r="D11" s="1273">
        <f>IF(AND(BG060Jaaropgave1_AP&lt;&gt;0,BG060Jaaropgave2_AP&lt;&gt;0),"zie jaarloon (60)",IF(AND(BG060Jaaropgave1_AP&lt;&gt;0,BG060Jaaropgave2_AP=0),Basisgegevens!D65+Basisgegevens!D66,IF(AND(BG060Jaaropgave1_AP=0,BG060Jaaropgave2_AP&lt;&gt;0),Basisgegevens!D49+Basisgegevens!D50,Basisgegevens!D49+Basisgegevens!D50+Basisgegevens!D65+Basisgegevens!D66)))</f>
        <v>0</v>
      </c>
      <c r="E11" s="2618"/>
      <c r="F11" s="1273">
        <f>IF(AND(BG060Jaaropgave1_AG&lt;&gt;0,BG060Jaaropgave2_AG&lt;&gt;0),"zie jaarloon (60)",IF(AND(BG060Jaaropgave1_AG&lt;&gt;0,BG060Jaaropgave2_AG=0),Basisgegevens!F65+Basisgegevens!F66,IF(AND(BG060Jaaropgave1_AG=0,BG060Jaaropgave2_AG&lt;&gt;0),Basisgegevens!F49+Basisgegevens!F50,Basisgegevens!F49+Basisgegevens!F50+Basisgegevens!F65+Basisgegevens!F66)))</f>
        <v>0</v>
      </c>
      <c r="G11" s="2618"/>
      <c r="H11" s="1724" t="s">
        <v>678</v>
      </c>
      <c r="I11" s="166">
        <v>11</v>
      </c>
    </row>
    <row r="12" spans="1:9" ht="15.75" outlineLevel="1" thickBot="1" x14ac:dyDescent="0.3">
      <c r="A12" s="1709"/>
      <c r="B12" s="1715" t="s">
        <v>907</v>
      </c>
      <c r="C12" s="1307"/>
      <c r="D12" s="1308">
        <f>BG041eaArbeidsloon_AP</f>
        <v>0</v>
      </c>
      <c r="E12" s="2618"/>
      <c r="F12" s="1308">
        <f>BG041eaArbeidsloon_AG</f>
        <v>0</v>
      </c>
      <c r="G12" s="2618"/>
      <c r="H12" s="1708"/>
      <c r="I12" s="2021">
        <v>12</v>
      </c>
    </row>
    <row r="13" spans="1:9" ht="90.75" outlineLevel="1" thickBot="1" x14ac:dyDescent="0.3">
      <c r="A13" s="1648" t="s">
        <v>853</v>
      </c>
      <c r="B13" s="1649" t="s">
        <v>871</v>
      </c>
      <c r="C13" s="1305"/>
      <c r="D13" s="234" t="s">
        <v>107</v>
      </c>
      <c r="E13" s="2619"/>
      <c r="F13" s="234" t="s">
        <v>107</v>
      </c>
      <c r="G13" s="2619"/>
      <c r="H13" s="1707" t="str">
        <f>"Een DGA is wel/niet niet verzekerd voor de werknemersverzekeringen. Indien de DGA niet verzekerd is moet er een eigen bijdrage ZVW (lage percentage) a "&amp;BGZVWPremie*100&amp;"% ingehouden worden op het nettoloon. 
Of een DGA als werknemer voor de werknemersverzekeringen wordt beschouwd hangt af van de zeggenschap in de BV. 
==&gt; Check de voorwaarden voordat er Ja wordt ingevuld!"</f>
        <v>Een DGA is wel/niet niet verzekerd voor de werknemersverzekeringen. Indien de DGA niet verzekerd is moet er een eigen bijdrage ZVW (lage percentage) a 5,32% ingehouden worden op het nettoloon. 
Of een DGA als werknemer voor de werknemersverzekeringen wordt beschouwd hangt af van de zeggenschap in de BV. 
==&gt; Check de voorwaarden voordat er Ja wordt ingevuld!</v>
      </c>
      <c r="I13" s="2341">
        <v>13</v>
      </c>
    </row>
    <row r="14" spans="1:9" ht="15.75" thickBot="1" x14ac:dyDescent="0.3">
      <c r="A14" s="1819"/>
      <c r="B14" s="112"/>
      <c r="C14" s="1820"/>
      <c r="D14" s="1794"/>
      <c r="E14" s="922"/>
      <c r="F14" s="1794"/>
      <c r="G14" s="922"/>
      <c r="H14" s="1757"/>
      <c r="I14" s="161">
        <v>14</v>
      </c>
    </row>
    <row r="15" spans="1:9" outlineLevel="1" x14ac:dyDescent="0.25">
      <c r="A15" s="1526">
        <v>42</v>
      </c>
      <c r="B15" s="83" t="s">
        <v>804</v>
      </c>
      <c r="C15" s="190" t="s">
        <v>74</v>
      </c>
      <c r="D15" s="995">
        <f>BG042AOWuitkering_AP</f>
        <v>0</v>
      </c>
      <c r="E15" s="2627" t="s">
        <v>754</v>
      </c>
      <c r="F15" s="995">
        <f>BG042AOWuitkering_AG</f>
        <v>0</v>
      </c>
      <c r="G15" s="2627" t="s">
        <v>754</v>
      </c>
      <c r="H15" s="1725" t="s">
        <v>164</v>
      </c>
      <c r="I15" s="28">
        <v>15</v>
      </c>
    </row>
    <row r="16" spans="1:9" ht="15" customHeight="1" outlineLevel="1" x14ac:dyDescent="0.25">
      <c r="A16" s="81">
        <v>43</v>
      </c>
      <c r="B16" s="84" t="s">
        <v>857</v>
      </c>
      <c r="C16" s="191" t="s">
        <v>74</v>
      </c>
      <c r="D16" s="874">
        <f>BG043SocVerzWet_AP</f>
        <v>0</v>
      </c>
      <c r="E16" s="2628"/>
      <c r="F16" s="874">
        <f>BG043SocVerzWet_AG</f>
        <v>0</v>
      </c>
      <c r="G16" s="2628"/>
      <c r="H16" s="1723" t="s">
        <v>856</v>
      </c>
      <c r="I16" s="66">
        <v>16</v>
      </c>
    </row>
    <row r="17" spans="1:9" ht="45" outlineLevel="1" x14ac:dyDescent="0.25">
      <c r="A17" s="81">
        <v>45</v>
      </c>
      <c r="B17" s="84" t="s">
        <v>806</v>
      </c>
      <c r="C17" s="191" t="s">
        <v>74</v>
      </c>
      <c r="D17" s="874">
        <f>IF(Basisgegevens!D81&gt;0,Basisgegevens!D81,Basisgegevens!D79)</f>
        <v>0</v>
      </c>
      <c r="E17" s="2628"/>
      <c r="F17" s="874">
        <f>IF(Basisgegevens!F81&gt;0,Basisgegevens!F81,Basisgegevens!F79)</f>
        <v>0</v>
      </c>
      <c r="G17" s="2628"/>
      <c r="H17" s="1723" t="s">
        <v>189</v>
      </c>
      <c r="I17" s="66">
        <v>17</v>
      </c>
    </row>
    <row r="18" spans="1:9" ht="30" outlineLevel="1" x14ac:dyDescent="0.25">
      <c r="A18" s="81">
        <v>49</v>
      </c>
      <c r="B18" s="84" t="s">
        <v>761</v>
      </c>
      <c r="C18" s="191" t="s">
        <v>74</v>
      </c>
      <c r="D18" s="304">
        <v>0</v>
      </c>
      <c r="E18" s="2628"/>
      <c r="F18" s="304">
        <v>0</v>
      </c>
      <c r="G18" s="2628"/>
      <c r="H18" s="1723" t="s">
        <v>760</v>
      </c>
      <c r="I18" s="66">
        <v>18</v>
      </c>
    </row>
    <row r="19" spans="1:9" ht="30" outlineLevel="1" x14ac:dyDescent="0.25">
      <c r="A19" s="81">
        <v>49</v>
      </c>
      <c r="B19" s="84" t="s">
        <v>59</v>
      </c>
      <c r="C19" s="191" t="s">
        <v>74</v>
      </c>
      <c r="D19" s="874">
        <f>Basisgegevens!D107</f>
        <v>0</v>
      </c>
      <c r="E19" s="2628"/>
      <c r="F19" s="303">
        <f>Basisgegevens!F107</f>
        <v>0</v>
      </c>
      <c r="G19" s="2628"/>
      <c r="H19" s="1723" t="s">
        <v>161</v>
      </c>
      <c r="I19" s="66">
        <v>19</v>
      </c>
    </row>
    <row r="20" spans="1:9" ht="15.75" outlineLevel="1" thickBot="1" x14ac:dyDescent="0.3">
      <c r="A20" s="82">
        <v>50</v>
      </c>
      <c r="B20" s="85" t="s">
        <v>60</v>
      </c>
      <c r="C20" s="192" t="s">
        <v>74</v>
      </c>
      <c r="D20" s="1081">
        <f>BG050BrutoPensioen_AP</f>
        <v>0</v>
      </c>
      <c r="E20" s="2629"/>
      <c r="F20" s="1081">
        <f>BG050BrutoPensioen_AG</f>
        <v>0</v>
      </c>
      <c r="G20" s="2629"/>
      <c r="H20" s="1726" t="s">
        <v>165</v>
      </c>
      <c r="I20" s="30">
        <v>20</v>
      </c>
    </row>
    <row r="21" spans="1:9" ht="16.5" thickBot="1" x14ac:dyDescent="0.3">
      <c r="A21" s="1448" t="s">
        <v>736</v>
      </c>
      <c r="B21" s="1821" t="s">
        <v>735</v>
      </c>
      <c r="C21" s="1787"/>
      <c r="D21" s="1289">
        <f>SUM(D12:D20)</f>
        <v>0</v>
      </c>
      <c r="E21" s="1822">
        <f>D21</f>
        <v>0</v>
      </c>
      <c r="F21" s="1289">
        <f>SUM(F12:F20)</f>
        <v>0</v>
      </c>
      <c r="G21" s="1788">
        <f>F21</f>
        <v>0</v>
      </c>
      <c r="H21" s="1823" t="s">
        <v>159</v>
      </c>
      <c r="I21" s="2342">
        <v>21</v>
      </c>
    </row>
    <row r="22" spans="1:9" x14ac:dyDescent="0.25">
      <c r="A22" s="1825"/>
      <c r="B22" s="1710"/>
      <c r="C22" s="1826"/>
      <c r="D22" s="1827"/>
      <c r="E22" s="1167"/>
      <c r="F22" s="1827"/>
      <c r="G22" s="1167"/>
      <c r="H22" s="1747"/>
      <c r="I22" s="1196">
        <v>22</v>
      </c>
    </row>
    <row r="23" spans="1:9" ht="16.5" thickBot="1" x14ac:dyDescent="0.3">
      <c r="A23" s="1828"/>
      <c r="B23" s="1829" t="s">
        <v>795</v>
      </c>
      <c r="C23" s="1830"/>
      <c r="D23" s="1831"/>
      <c r="E23" s="923"/>
      <c r="F23" s="1831"/>
      <c r="G23" s="923"/>
      <c r="H23" s="1733"/>
      <c r="I23" s="349">
        <v>23</v>
      </c>
    </row>
    <row r="24" spans="1:9" x14ac:dyDescent="0.25">
      <c r="A24" s="1427"/>
      <c r="B24" s="1824" t="str">
        <f>Basisgegevens!B27</f>
        <v>Bijtelling volgens salarisstrook</v>
      </c>
      <c r="C24" s="193" t="s">
        <v>74</v>
      </c>
      <c r="D24" s="881">
        <f>Basisgegevens!D27</f>
        <v>0</v>
      </c>
      <c r="E24" s="2632" t="s">
        <v>260</v>
      </c>
      <c r="F24" s="881">
        <f>Basisgegevens!F27</f>
        <v>0</v>
      </c>
      <c r="G24" s="2635" t="s">
        <v>260</v>
      </c>
      <c r="H24" s="1769"/>
      <c r="I24" s="67">
        <v>24</v>
      </c>
    </row>
    <row r="25" spans="1:9" ht="15.75" thickBot="1" x14ac:dyDescent="0.3">
      <c r="A25" s="1428"/>
      <c r="B25" s="272" t="str">
        <f>Basisgegevens!B28</f>
        <v>Eigen bijdrage</v>
      </c>
      <c r="C25" s="191" t="s">
        <v>69</v>
      </c>
      <c r="D25" s="303">
        <f>Basisgegevens!D28</f>
        <v>0</v>
      </c>
      <c r="E25" s="2633"/>
      <c r="F25" s="303">
        <f>Basisgegevens!F28</f>
        <v>0</v>
      </c>
      <c r="G25" s="2636"/>
      <c r="H25" s="1730"/>
      <c r="I25" s="66">
        <v>25</v>
      </c>
    </row>
    <row r="26" spans="1:9" ht="15.75" thickBot="1" x14ac:dyDescent="0.3">
      <c r="A26" s="1429"/>
      <c r="B26" s="440" t="str">
        <f>Basisgegevens!B29</f>
        <v>Bijtelling auto van de zaak</v>
      </c>
      <c r="C26" s="190" t="s">
        <v>74</v>
      </c>
      <c r="D26" s="305">
        <f>Basisgegevens!D29</f>
        <v>0</v>
      </c>
      <c r="E26" s="2634"/>
      <c r="F26" s="305">
        <f>Basisgegevens!F29</f>
        <v>0</v>
      </c>
      <c r="G26" s="2637"/>
      <c r="H26" s="1731"/>
      <c r="I26" s="30">
        <v>26</v>
      </c>
    </row>
    <row r="27" spans="1:9" ht="15.75" thickBot="1" x14ac:dyDescent="0.3">
      <c r="A27" s="1181"/>
      <c r="B27" s="1832"/>
      <c r="C27" s="1683"/>
      <c r="D27" s="1289">
        <f>AL41_50BrutoInkomen_AP+D26</f>
        <v>0</v>
      </c>
      <c r="E27" s="1167"/>
      <c r="F27" s="1289">
        <f>AL41_50BrutoInkomen_AG+F26</f>
        <v>0</v>
      </c>
      <c r="G27" s="1168"/>
      <c r="H27" s="1833"/>
      <c r="I27" s="1196">
        <v>27</v>
      </c>
    </row>
    <row r="28" spans="1:9" ht="15.75" thickBot="1" x14ac:dyDescent="0.3">
      <c r="A28" s="1819"/>
      <c r="B28" s="1841"/>
      <c r="C28" s="1820"/>
      <c r="D28" s="1794"/>
      <c r="E28" s="922"/>
      <c r="F28" s="1794"/>
      <c r="G28" s="922"/>
      <c r="H28" s="1732"/>
      <c r="I28" s="161">
        <v>28</v>
      </c>
    </row>
    <row r="29" spans="1:9" s="101" customFormat="1" ht="19.5" thickBot="1" x14ac:dyDescent="0.3">
      <c r="A29" s="1834"/>
      <c r="B29" s="1835" t="s">
        <v>288</v>
      </c>
      <c r="C29" s="1836"/>
      <c r="D29" s="1837"/>
      <c r="E29" s="1838"/>
      <c r="F29" s="1837"/>
      <c r="G29" s="1839"/>
      <c r="H29" s="1840"/>
      <c r="I29" s="1981">
        <v>29</v>
      </c>
    </row>
    <row r="30" spans="1:9" outlineLevel="1" x14ac:dyDescent="0.25">
      <c r="A30" s="1426">
        <v>51</v>
      </c>
      <c r="B30" s="83" t="s">
        <v>61</v>
      </c>
      <c r="C30" s="190" t="s">
        <v>69</v>
      </c>
      <c r="D30" s="995">
        <f>IF(Basisgegevens!D108="Zie jaarloon (60)",Basisgegevens!D122+Basisgegevens!D132,Basisgegevens!D108+Basisgegevens!D122+Basisgegevens!D132)</f>
        <v>0</v>
      </c>
      <c r="E30" s="1327" t="s">
        <v>260</v>
      </c>
      <c r="F30" s="995">
        <f>IF(Basisgegevens!F108="Zie jaarloon (60)",Basisgegevens!F122+Basisgegevens!F132,Basisgegevens!F108+Basisgegevens!F122+Basisgegevens!F132)</f>
        <v>0</v>
      </c>
      <c r="G30" s="1156" t="s">
        <v>260</v>
      </c>
      <c r="H30" s="1687" t="s">
        <v>166</v>
      </c>
      <c r="I30" s="28">
        <v>30</v>
      </c>
    </row>
    <row r="31" spans="1:9" ht="45" outlineLevel="1" x14ac:dyDescent="0.25">
      <c r="A31" s="1428" t="s">
        <v>905</v>
      </c>
      <c r="B31" s="84" t="str">
        <f>"Premie vrijwillige nettopensioensregeling voor inkomens hoger dan € "&amp;Basisgegevens!C215&amp;
" (De bruto inkomsten zijn: € "&amp;ROUND(D12,0)&amp;" / € "&amp;ROUND(F12,0)&amp;", de afgedragen premie komt terug bij 119b)"</f>
        <v>Premie vrijwillige nettopensioensregeling voor inkomens hoger dan € 137800 (De bruto inkomsten zijn: € 0 / € 0, de afgedragen premie komt terug bij 119b)</v>
      </c>
      <c r="C31" s="191"/>
      <c r="D31" s="1303"/>
      <c r="E31" s="304">
        <v>0</v>
      </c>
      <c r="F31" s="1303"/>
      <c r="G31" s="304">
        <v>0</v>
      </c>
      <c r="H31" s="1735" t="str">
        <f>"Bij een pensioengevend salaris wordt er boven de € "&amp;Basisgegevens!C215&amp;" geen pensioen opgebouwd. De netto pensioenregeling is een vrijwillige regeling waarmee het pensioen daarboven opgebouwd wordt."</f>
        <v>Bij een pensioengevend salaris wordt er boven de € 137800 geen pensioen opgebouwd. De netto pensioenregeling is een vrijwillige regeling waarmee het pensioen daarboven opgebouwd wordt.</v>
      </c>
      <c r="I31" s="66">
        <v>31</v>
      </c>
    </row>
    <row r="32" spans="1:9" outlineLevel="1" x14ac:dyDescent="0.25">
      <c r="A32" s="1428">
        <v>52</v>
      </c>
      <c r="B32" s="84" t="s">
        <v>62</v>
      </c>
      <c r="C32" s="191" t="s">
        <v>69</v>
      </c>
      <c r="D32" s="874">
        <f>Basisgegevens!D109</f>
        <v>0</v>
      </c>
      <c r="E32" s="2640" t="s">
        <v>260</v>
      </c>
      <c r="F32" s="303">
        <f>Basisgegevens!F109</f>
        <v>0</v>
      </c>
      <c r="G32" s="2640" t="s">
        <v>260</v>
      </c>
      <c r="H32" s="1735"/>
      <c r="I32" s="66">
        <v>32</v>
      </c>
    </row>
    <row r="33" spans="1:9" ht="30.75" outlineLevel="1" thickBot="1" x14ac:dyDescent="0.3">
      <c r="A33" s="1429">
        <v>53</v>
      </c>
      <c r="B33" s="85" t="s">
        <v>65</v>
      </c>
      <c r="C33" s="192" t="s">
        <v>69</v>
      </c>
      <c r="D33" s="1081">
        <f>Basisgegevens!D110</f>
        <v>0</v>
      </c>
      <c r="E33" s="2641"/>
      <c r="F33" s="305">
        <f>Basisgegevens!F110</f>
        <v>0</v>
      </c>
      <c r="G33" s="2641"/>
      <c r="H33" s="1688" t="s">
        <v>157</v>
      </c>
      <c r="I33" s="30">
        <v>33</v>
      </c>
    </row>
    <row r="34" spans="1:9" ht="16.5" thickBot="1" x14ac:dyDescent="0.3">
      <c r="A34" s="1448">
        <v>54</v>
      </c>
      <c r="B34" s="1821" t="s">
        <v>290</v>
      </c>
      <c r="C34" s="1842" t="s">
        <v>18</v>
      </c>
      <c r="D34" s="1289">
        <f>AL41_50BrutoInkomen_AP-SUM(D30:D33)</f>
        <v>0</v>
      </c>
      <c r="E34" s="1822">
        <f>D34</f>
        <v>0</v>
      </c>
      <c r="F34" s="1289">
        <f>AL41_50BrutoInkomen_AG-SUM(F30:F33)</f>
        <v>0</v>
      </c>
      <c r="G34" s="1788">
        <f>F34</f>
        <v>0</v>
      </c>
      <c r="H34" s="1823" t="s">
        <v>158</v>
      </c>
      <c r="I34" s="2342">
        <v>34</v>
      </c>
    </row>
    <row r="35" spans="1:9" outlineLevel="1" x14ac:dyDescent="0.25">
      <c r="A35" s="1825"/>
      <c r="B35" s="1710"/>
      <c r="C35" s="1843"/>
      <c r="D35" s="1827"/>
      <c r="E35" s="1167"/>
      <c r="F35" s="1827"/>
      <c r="G35" s="1167"/>
      <c r="H35" s="1747"/>
      <c r="I35" s="1196">
        <v>35</v>
      </c>
    </row>
    <row r="36" spans="1:9" ht="16.5" outlineLevel="1" thickBot="1" x14ac:dyDescent="0.3">
      <c r="A36" s="1828"/>
      <c r="B36" s="1848" t="s">
        <v>75</v>
      </c>
      <c r="C36" s="1844"/>
      <c r="D36" s="1831"/>
      <c r="E36" s="923"/>
      <c r="F36" s="1831"/>
      <c r="G36" s="923"/>
      <c r="H36" s="1975"/>
      <c r="I36" s="349">
        <v>36</v>
      </c>
    </row>
    <row r="37" spans="1:9" ht="30" outlineLevel="1" x14ac:dyDescent="0.25">
      <c r="A37" s="1427">
        <v>55</v>
      </c>
      <c r="B37" s="86" t="s">
        <v>63</v>
      </c>
      <c r="C37" s="193" t="s">
        <v>69</v>
      </c>
      <c r="D37" s="1165">
        <f>Basisgegevens!D113</f>
        <v>0</v>
      </c>
      <c r="E37" s="2632" t="s">
        <v>260</v>
      </c>
      <c r="F37" s="1165">
        <f>Basisgegevens!F113</f>
        <v>0</v>
      </c>
      <c r="G37" s="2635" t="s">
        <v>260</v>
      </c>
      <c r="H37" s="1746" t="s">
        <v>155</v>
      </c>
      <c r="I37" s="67">
        <v>37</v>
      </c>
    </row>
    <row r="38" spans="1:9" ht="30.75" outlineLevel="1" thickBot="1" x14ac:dyDescent="0.3">
      <c r="A38" s="1431">
        <v>56</v>
      </c>
      <c r="B38" s="94" t="s">
        <v>64</v>
      </c>
      <c r="C38" s="199" t="s">
        <v>69</v>
      </c>
      <c r="D38" s="883">
        <f>Basisgegevens!D112</f>
        <v>0</v>
      </c>
      <c r="E38" s="2638"/>
      <c r="F38" s="883">
        <f>Basisgegevens!F112</f>
        <v>0</v>
      </c>
      <c r="G38" s="2639"/>
      <c r="H38" s="1736" t="s">
        <v>156</v>
      </c>
      <c r="I38" s="166">
        <v>38</v>
      </c>
    </row>
    <row r="39" spans="1:9" outlineLevel="1" x14ac:dyDescent="0.25">
      <c r="A39" s="1825"/>
      <c r="B39" s="1710"/>
      <c r="C39" s="1826"/>
      <c r="D39" s="1827"/>
      <c r="E39" s="1167"/>
      <c r="F39" s="1827"/>
      <c r="G39" s="1167"/>
      <c r="H39" s="1747"/>
      <c r="I39" s="1196">
        <v>39</v>
      </c>
    </row>
    <row r="40" spans="1:9" ht="16.5" outlineLevel="1" thickBot="1" x14ac:dyDescent="0.3">
      <c r="A40" s="1828"/>
      <c r="B40" s="1848" t="s">
        <v>66</v>
      </c>
      <c r="C40" s="1830"/>
      <c r="D40" s="1831"/>
      <c r="E40" s="923"/>
      <c r="F40" s="1831"/>
      <c r="G40" s="923"/>
      <c r="H40" s="1975"/>
      <c r="I40" s="349">
        <v>40</v>
      </c>
    </row>
    <row r="41" spans="1:9" ht="45" outlineLevel="1" x14ac:dyDescent="0.25">
      <c r="A41" s="1427">
        <v>57</v>
      </c>
      <c r="B41" s="86" t="s">
        <v>934</v>
      </c>
      <c r="C41" s="193" t="s">
        <v>69</v>
      </c>
      <c r="D41" s="883">
        <v>0</v>
      </c>
      <c r="E41" s="1845" t="s">
        <v>260</v>
      </c>
      <c r="F41" s="883">
        <v>0</v>
      </c>
      <c r="G41" s="1845" t="s">
        <v>260</v>
      </c>
      <c r="H41" s="1746" t="s">
        <v>168</v>
      </c>
      <c r="I41" s="67">
        <v>41</v>
      </c>
    </row>
    <row r="42" spans="1:9" outlineLevel="1" x14ac:dyDescent="0.25">
      <c r="A42" s="1431" t="s">
        <v>864</v>
      </c>
      <c r="B42" s="94" t="str">
        <f>"Als DGA af te dragen premie ZVW over €"&amp;ROUND(BG041eaArbeidsloon_AP,0)&amp;" (AP) € "&amp;ROUND(BG041eaArbeidsloon_AG,0)&amp;" (AG) (wordt verwerkt bij post 119b)"</f>
        <v>Als DGA af te dragen premie ZVW over €0 (AP) € 0 (AG) (wordt verwerkt bij post 119b)</v>
      </c>
      <c r="C42" s="199"/>
      <c r="D42" s="1322"/>
      <c r="E42" s="1165">
        <f>IF(AL41DGA_AP="Ja",E205,0)</f>
        <v>0</v>
      </c>
      <c r="F42" s="1322"/>
      <c r="G42" s="1165">
        <f>IF(AL41DGA_AG="Ja",G205,0)</f>
        <v>0</v>
      </c>
      <c r="H42" s="1736" t="s">
        <v>976</v>
      </c>
      <c r="I42" s="166">
        <v>42</v>
      </c>
    </row>
    <row r="43" spans="1:9" ht="30.75" outlineLevel="1" thickBot="1" x14ac:dyDescent="0.3">
      <c r="A43" s="1429">
        <v>58</v>
      </c>
      <c r="B43" s="85" t="s">
        <v>67</v>
      </c>
      <c r="C43" s="192" t="s">
        <v>74</v>
      </c>
      <c r="D43" s="1081">
        <f>Basisgegevens!D114</f>
        <v>0</v>
      </c>
      <c r="E43" s="1662" t="s">
        <v>754</v>
      </c>
      <c r="F43" s="305">
        <f>Basisgegevens!F114</f>
        <v>0</v>
      </c>
      <c r="G43" s="1662" t="s">
        <v>754</v>
      </c>
      <c r="H43" s="1688" t="s">
        <v>154</v>
      </c>
      <c r="I43" s="30">
        <v>43</v>
      </c>
    </row>
    <row r="44" spans="1:9" ht="16.5" thickBot="1" x14ac:dyDescent="0.3">
      <c r="A44" s="1448">
        <v>59</v>
      </c>
      <c r="B44" s="1821" t="s">
        <v>211</v>
      </c>
      <c r="C44" s="1787"/>
      <c r="D44" s="1289">
        <f>D34-SUM(D37:D41)+SUBSTITUTE(D43,"zie jaarloon (60)",0)</f>
        <v>0</v>
      </c>
      <c r="E44" s="1822">
        <f>D44</f>
        <v>0</v>
      </c>
      <c r="F44" s="1289">
        <f>F34-SUM(F37:F41)+SUBSTITUTE(F43,"zie jaarloon (60)",0)</f>
        <v>0</v>
      </c>
      <c r="G44" s="1788">
        <f>F44</f>
        <v>0</v>
      </c>
      <c r="H44" s="1823" t="s">
        <v>167</v>
      </c>
      <c r="I44" s="2342">
        <v>44</v>
      </c>
    </row>
    <row r="45" spans="1:9" outlineLevel="1" x14ac:dyDescent="0.25">
      <c r="A45" s="1825"/>
      <c r="B45" s="1710"/>
      <c r="C45" s="1826"/>
      <c r="D45" s="1827"/>
      <c r="E45" s="1167"/>
      <c r="F45" s="1827"/>
      <c r="G45" s="1167"/>
      <c r="H45" s="1747"/>
      <c r="I45" s="1196">
        <v>45</v>
      </c>
    </row>
    <row r="46" spans="1:9" ht="16.5" outlineLevel="1" thickBot="1" x14ac:dyDescent="0.3">
      <c r="A46" s="1828"/>
      <c r="B46" s="1848" t="s">
        <v>76</v>
      </c>
      <c r="C46" s="1830"/>
      <c r="D46" s="1831"/>
      <c r="E46" s="923"/>
      <c r="F46" s="1831"/>
      <c r="G46" s="923"/>
      <c r="H46" s="1975"/>
      <c r="I46" s="349">
        <v>46</v>
      </c>
    </row>
    <row r="47" spans="1:9" outlineLevel="1" x14ac:dyDescent="0.25">
      <c r="A47" s="1427"/>
      <c r="B47" s="1846" t="str">
        <f>Basisgegevens!B33</f>
        <v>Loon volgens jaaropgave werkgever 1 (= dienstbetrekking)</v>
      </c>
      <c r="C47" s="1847" t="s">
        <v>74</v>
      </c>
      <c r="D47" s="1233">
        <f>BG060Jaaropgave1_AP</f>
        <v>0</v>
      </c>
      <c r="E47" s="929"/>
      <c r="F47" s="881">
        <f>BG060Jaaropgave1_AG</f>
        <v>0</v>
      </c>
      <c r="G47" s="877"/>
      <c r="H47" s="2630" t="s">
        <v>765</v>
      </c>
      <c r="I47" s="67">
        <v>47</v>
      </c>
    </row>
    <row r="48" spans="1:9" outlineLevel="1" x14ac:dyDescent="0.25">
      <c r="A48" s="1428"/>
      <c r="B48" s="339" t="s">
        <v>728</v>
      </c>
      <c r="C48" s="1234" t="s">
        <v>69</v>
      </c>
      <c r="D48" s="1238">
        <f>IF(BG060Jaaropgave1_AP+BG060Jaaropgave2_AP&lt;=0,0,BG060BijtellingAuto_AP)</f>
        <v>0</v>
      </c>
      <c r="E48" s="930"/>
      <c r="F48" s="889">
        <f>IF(BG060Jaaropgave1_AG+BG060Jaaropgave2_AG&lt;=0,0,BG060BijtellingAuto_AG)</f>
        <v>0</v>
      </c>
      <c r="G48" s="878"/>
      <c r="H48" s="2631"/>
      <c r="I48" s="66">
        <v>48</v>
      </c>
    </row>
    <row r="49" spans="1:9" ht="15.75" outlineLevel="1" thickBot="1" x14ac:dyDescent="0.3">
      <c r="A49" s="1431"/>
      <c r="B49" s="1337" t="str">
        <f>Basisgegevens!B35</f>
        <v>Loon volgens jaaropgave werkgever 2 (= dienstbetrekking)</v>
      </c>
      <c r="C49" s="1338" t="s">
        <v>74</v>
      </c>
      <c r="D49" s="1239">
        <f>BG060Jaaropgave2_AP</f>
        <v>0</v>
      </c>
      <c r="E49" s="921"/>
      <c r="F49" s="883">
        <f>BG060Jaaropgave2_AG</f>
        <v>0</v>
      </c>
      <c r="G49" s="869"/>
      <c r="H49" s="2631"/>
      <c r="I49" s="166">
        <v>49</v>
      </c>
    </row>
    <row r="50" spans="1:9" ht="30.6" customHeight="1" thickBot="1" x14ac:dyDescent="0.3">
      <c r="A50" s="1430">
        <v>60</v>
      </c>
      <c r="B50" s="1339" t="s">
        <v>738</v>
      </c>
      <c r="C50" s="186"/>
      <c r="D50" s="880">
        <f>IF(BG060Jaaropgave1_AP+BG060Jaaropgave2_AP-D48&lt;=0,0,D47-D48+D49)</f>
        <v>0</v>
      </c>
      <c r="E50" s="926" t="s">
        <v>260</v>
      </c>
      <c r="F50" s="880">
        <f>IF(BG060Jaaropgave1_AG+BG060Jaaropgave2_AG-F48&lt;=0,0,F47-F48+F49)</f>
        <v>0</v>
      </c>
      <c r="G50" s="906" t="s">
        <v>260</v>
      </c>
      <c r="H50" s="1737"/>
      <c r="I50" s="584">
        <v>50</v>
      </c>
    </row>
    <row r="51" spans="1:9" ht="15.75" thickBot="1" x14ac:dyDescent="0.3">
      <c r="A51" s="1433"/>
      <c r="B51" s="314"/>
      <c r="C51" s="414"/>
      <c r="D51" s="909"/>
      <c r="E51" s="923"/>
      <c r="F51" s="909"/>
      <c r="G51" s="870"/>
      <c r="H51" s="1738"/>
      <c r="I51" s="349">
        <v>51</v>
      </c>
    </row>
    <row r="52" spans="1:9" ht="19.5" thickBot="1" x14ac:dyDescent="0.3">
      <c r="A52" s="1434"/>
      <c r="B52" s="387" t="s">
        <v>5</v>
      </c>
      <c r="C52" s="388"/>
      <c r="D52" s="910"/>
      <c r="E52" s="927"/>
      <c r="F52" s="910"/>
      <c r="G52" s="872"/>
      <c r="H52" s="1739"/>
      <c r="I52" s="2343">
        <v>52</v>
      </c>
    </row>
    <row r="53" spans="1:9" outlineLevel="1" x14ac:dyDescent="0.25">
      <c r="A53" s="1426">
        <v>61</v>
      </c>
      <c r="B53" s="556" t="s">
        <v>6</v>
      </c>
      <c r="C53" s="190" t="s">
        <v>69</v>
      </c>
      <c r="D53" s="911">
        <v>0</v>
      </c>
      <c r="E53" s="2620" t="s">
        <v>260</v>
      </c>
      <c r="F53" s="911">
        <v>0</v>
      </c>
      <c r="G53" s="2623" t="s">
        <v>260</v>
      </c>
      <c r="H53" s="1740" t="s">
        <v>221</v>
      </c>
      <c r="I53" s="28">
        <v>53</v>
      </c>
    </row>
    <row r="54" spans="1:9" ht="30" outlineLevel="1" x14ac:dyDescent="0.25">
      <c r="A54" s="1428">
        <v>62</v>
      </c>
      <c r="B54" s="84" t="s">
        <v>178</v>
      </c>
      <c r="C54" s="191" t="s">
        <v>69</v>
      </c>
      <c r="D54" s="304">
        <v>0</v>
      </c>
      <c r="E54" s="2621"/>
      <c r="F54" s="304">
        <v>0</v>
      </c>
      <c r="G54" s="2624"/>
      <c r="H54" s="1735" t="s">
        <v>169</v>
      </c>
      <c r="I54" s="66">
        <v>54</v>
      </c>
    </row>
    <row r="55" spans="1:9" ht="15.75" outlineLevel="1" thickBot="1" x14ac:dyDescent="0.3">
      <c r="A55" s="1429">
        <v>63</v>
      </c>
      <c r="B55" s="557" t="s">
        <v>7</v>
      </c>
      <c r="C55" s="197" t="s">
        <v>69</v>
      </c>
      <c r="D55" s="876">
        <v>0</v>
      </c>
      <c r="E55" s="2622"/>
      <c r="F55" s="876">
        <v>0</v>
      </c>
      <c r="G55" s="2625"/>
      <c r="H55" s="1741" t="s">
        <v>221</v>
      </c>
      <c r="I55" s="30">
        <v>55</v>
      </c>
    </row>
    <row r="56" spans="1:9" ht="16.5" thickBot="1" x14ac:dyDescent="0.3">
      <c r="A56" s="1430">
        <v>64</v>
      </c>
      <c r="B56" s="179" t="s">
        <v>14</v>
      </c>
      <c r="C56" s="186" t="s">
        <v>77</v>
      </c>
      <c r="D56" s="880">
        <f>(D44+D50)-SUM(D53:D55)</f>
        <v>0</v>
      </c>
      <c r="E56" s="920">
        <f>D56</f>
        <v>0</v>
      </c>
      <c r="F56" s="880">
        <f>(F44+F50)-SUM(F53:F55)</f>
        <v>0</v>
      </c>
      <c r="G56" s="868">
        <f>F56</f>
        <v>0</v>
      </c>
      <c r="H56" s="1727" t="s">
        <v>569</v>
      </c>
      <c r="I56" s="584">
        <v>56</v>
      </c>
    </row>
    <row r="57" spans="1:9" ht="15.75" thickBot="1" x14ac:dyDescent="0.3">
      <c r="A57" s="1311"/>
      <c r="B57" s="398"/>
      <c r="C57" s="185"/>
      <c r="D57" s="886"/>
      <c r="E57" s="930"/>
      <c r="F57" s="886"/>
      <c r="G57" s="878"/>
      <c r="H57" s="1742"/>
      <c r="I57" s="323">
        <v>57</v>
      </c>
    </row>
    <row r="58" spans="1:9" ht="19.5" thickBot="1" x14ac:dyDescent="0.3">
      <c r="A58" s="1425"/>
      <c r="B58" s="95" t="s">
        <v>9</v>
      </c>
      <c r="C58" s="196"/>
      <c r="D58" s="867"/>
      <c r="E58" s="928"/>
      <c r="F58" s="867"/>
      <c r="G58" s="873"/>
      <c r="H58" s="1743"/>
      <c r="I58" s="2191">
        <v>58</v>
      </c>
    </row>
    <row r="59" spans="1:9" outlineLevel="1" x14ac:dyDescent="0.25">
      <c r="A59" s="1426">
        <v>65</v>
      </c>
      <c r="B59" s="83" t="s">
        <v>762</v>
      </c>
      <c r="C59" s="190" t="s">
        <v>74</v>
      </c>
      <c r="D59" s="35">
        <v>0</v>
      </c>
      <c r="E59" s="2620" t="s">
        <v>260</v>
      </c>
      <c r="F59" s="35">
        <v>0</v>
      </c>
      <c r="G59" s="2623" t="s">
        <v>260</v>
      </c>
      <c r="H59" s="1687"/>
      <c r="I59" s="28">
        <v>59</v>
      </c>
    </row>
    <row r="60" spans="1:9" outlineLevel="1" x14ac:dyDescent="0.25">
      <c r="A60" s="1428" t="s">
        <v>291</v>
      </c>
      <c r="B60" s="84" t="s">
        <v>999</v>
      </c>
      <c r="C60" s="191" t="s">
        <v>74</v>
      </c>
      <c r="D60" s="304">
        <v>0</v>
      </c>
      <c r="E60" s="2633"/>
      <c r="F60" s="304">
        <v>0</v>
      </c>
      <c r="G60" s="2636"/>
      <c r="H60" s="1735"/>
      <c r="I60" s="66">
        <v>60</v>
      </c>
    </row>
    <row r="61" spans="1:9" outlineLevel="1" x14ac:dyDescent="0.25">
      <c r="A61" s="1428"/>
      <c r="B61" s="358" t="s">
        <v>358</v>
      </c>
      <c r="C61" s="364"/>
      <c r="D61" s="303">
        <f>SUM(D59:D60)</f>
        <v>0</v>
      </c>
      <c r="E61" s="2633"/>
      <c r="F61" s="303">
        <f>SUM(F59:F60)</f>
        <v>0</v>
      </c>
      <c r="G61" s="2636"/>
      <c r="H61" s="1735"/>
      <c r="I61" s="66">
        <v>61</v>
      </c>
    </row>
    <row r="62" spans="1:9" outlineLevel="1" x14ac:dyDescent="0.25">
      <c r="A62" s="1428">
        <v>66</v>
      </c>
      <c r="B62" s="90" t="s">
        <v>10</v>
      </c>
      <c r="C62" s="191" t="s">
        <v>74</v>
      </c>
      <c r="D62" s="304">
        <v>0</v>
      </c>
      <c r="E62" s="2633"/>
      <c r="F62" s="304">
        <v>0</v>
      </c>
      <c r="G62" s="2636"/>
      <c r="H62" s="1735"/>
      <c r="I62" s="66">
        <v>62</v>
      </c>
    </row>
    <row r="63" spans="1:9" outlineLevel="1" x14ac:dyDescent="0.25">
      <c r="A63" s="1428">
        <v>67</v>
      </c>
      <c r="B63" s="90" t="s">
        <v>11</v>
      </c>
      <c r="C63" s="191" t="s">
        <v>69</v>
      </c>
      <c r="D63" s="304">
        <v>0</v>
      </c>
      <c r="E63" s="2633"/>
      <c r="F63" s="304">
        <v>0</v>
      </c>
      <c r="G63" s="2636"/>
      <c r="H63" s="1735"/>
      <c r="I63" s="66">
        <v>63</v>
      </c>
    </row>
    <row r="64" spans="1:9" outlineLevel="1" x14ac:dyDescent="0.25">
      <c r="A64" s="1428">
        <v>68</v>
      </c>
      <c r="B64" s="554" t="s">
        <v>12</v>
      </c>
      <c r="C64" s="191" t="s">
        <v>69</v>
      </c>
      <c r="D64" s="887">
        <v>0</v>
      </c>
      <c r="E64" s="2633"/>
      <c r="F64" s="887">
        <v>0</v>
      </c>
      <c r="G64" s="2636"/>
      <c r="H64" s="1744" t="s">
        <v>221</v>
      </c>
      <c r="I64" s="66">
        <v>64</v>
      </c>
    </row>
    <row r="65" spans="1:9" ht="15.75" outlineLevel="1" thickBot="1" x14ac:dyDescent="0.3">
      <c r="A65" s="1429">
        <v>69</v>
      </c>
      <c r="B65" s="320" t="s">
        <v>1000</v>
      </c>
      <c r="C65" s="192" t="s">
        <v>69</v>
      </c>
      <c r="D65" s="912">
        <v>0</v>
      </c>
      <c r="E65" s="2634"/>
      <c r="F65" s="912">
        <v>0</v>
      </c>
      <c r="G65" s="2637"/>
      <c r="H65" s="1688"/>
      <c r="I65" s="30">
        <v>65</v>
      </c>
    </row>
    <row r="66" spans="1:9" ht="16.5" thickBot="1" x14ac:dyDescent="0.3">
      <c r="A66" s="1435">
        <v>70</v>
      </c>
      <c r="B66" s="385" t="s">
        <v>15</v>
      </c>
      <c r="C66" s="386"/>
      <c r="D66" s="913">
        <f>(D59+D62)-SUM(D63:D65)</f>
        <v>0</v>
      </c>
      <c r="E66" s="925">
        <f>D66</f>
        <v>0</v>
      </c>
      <c r="F66" s="913">
        <f>(F59+F62)-SUM(F63:F65)</f>
        <v>0</v>
      </c>
      <c r="G66" s="871">
        <f>F66</f>
        <v>0</v>
      </c>
      <c r="H66" s="1745" t="s">
        <v>170</v>
      </c>
      <c r="I66" s="2344">
        <v>66</v>
      </c>
    </row>
    <row r="67" spans="1:9" ht="15.75" outlineLevel="1" thickBot="1" x14ac:dyDescent="0.3">
      <c r="A67" s="1825"/>
      <c r="B67" s="1710"/>
      <c r="C67" s="1827"/>
      <c r="D67" s="1167"/>
      <c r="E67" s="1827"/>
      <c r="F67" s="1167"/>
      <c r="G67" s="1167"/>
      <c r="H67" s="1747"/>
      <c r="I67" s="1196">
        <v>67</v>
      </c>
    </row>
    <row r="68" spans="1:9" ht="19.5" outlineLevel="1" thickBot="1" x14ac:dyDescent="0.3">
      <c r="A68" s="1872"/>
      <c r="B68" s="1862" t="s">
        <v>13</v>
      </c>
      <c r="C68" s="1873"/>
      <c r="D68" s="1874"/>
      <c r="E68" s="924"/>
      <c r="F68" s="1874"/>
      <c r="G68" s="924"/>
      <c r="H68" s="1734"/>
      <c r="I68" s="2191">
        <v>68</v>
      </c>
    </row>
    <row r="69" spans="1:9" outlineLevel="1" x14ac:dyDescent="0.25">
      <c r="A69" s="1849">
        <v>71</v>
      </c>
      <c r="B69" s="86" t="s">
        <v>373</v>
      </c>
      <c r="C69" s="193" t="s">
        <v>69</v>
      </c>
      <c r="D69" s="881">
        <f>IF(Basisgegevens!D144="Ja",IF(YEAR(Basisgegevens!C$9)&lt;Basisgegevens!$C$17,Basisgegevens!$C$144/2,Basisgegevens!$C$144),0)</f>
        <v>0</v>
      </c>
      <c r="E69" s="2632" t="s">
        <v>260</v>
      </c>
      <c r="F69" s="881">
        <f>IF(Basisgegevens!E144="Ja",IF(YEAR(Basisgegevens!D$9)&lt;Basisgegevens!$C$17,Basisgegevens!$C$144/2,Basisgegevens!$C$144),0)</f>
        <v>0</v>
      </c>
      <c r="G69" s="2635" t="s">
        <v>260</v>
      </c>
      <c r="H69" s="1746" t="s">
        <v>430</v>
      </c>
      <c r="I69" s="2345">
        <v>69</v>
      </c>
    </row>
    <row r="70" spans="1:9" outlineLevel="1" x14ac:dyDescent="0.25">
      <c r="A70" s="1436"/>
      <c r="B70" s="90" t="s">
        <v>359</v>
      </c>
      <c r="C70" s="191" t="s">
        <v>69</v>
      </c>
      <c r="D70" s="303">
        <f>IF(Basisgegevens!D145="Ja",IF(YEAR(Basisgegevens!C$9)&lt;Basisgegevens!$C$17,Basisgegevens!$C$145/2,Basisgegevens!$C$145),0)</f>
        <v>0</v>
      </c>
      <c r="E70" s="2648"/>
      <c r="F70" s="303">
        <f>IF(Basisgegevens!E145="Ja",IF(YEAR(Basisgegevens!D$9)&lt;Basisgegevens!$C$17,Basisgegevens!$C$145/2,Basisgegevens!$C$145),0)</f>
        <v>0</v>
      </c>
      <c r="G70" s="2649"/>
      <c r="H70" s="1735" t="s">
        <v>430</v>
      </c>
      <c r="I70" s="2346">
        <v>70</v>
      </c>
    </row>
    <row r="71" spans="1:9" outlineLevel="1" x14ac:dyDescent="0.25">
      <c r="A71" s="1436">
        <v>72</v>
      </c>
      <c r="B71" s="84" t="s">
        <v>1108</v>
      </c>
      <c r="C71" s="191" t="s">
        <v>69</v>
      </c>
      <c r="D71" s="303">
        <f>Basisgegevens!D151</f>
        <v>0</v>
      </c>
      <c r="E71" s="2621"/>
      <c r="F71" s="303">
        <f>Basisgegevens!E151</f>
        <v>0</v>
      </c>
      <c r="G71" s="2624"/>
      <c r="H71" s="1735"/>
      <c r="I71" s="2346">
        <v>71</v>
      </c>
    </row>
    <row r="72" spans="1:9" outlineLevel="1" x14ac:dyDescent="0.25">
      <c r="A72" s="1436">
        <v>73</v>
      </c>
      <c r="B72" s="84" t="str">
        <f>CONCATENATE("Meewerkaftrek: ",Basisgegevens!C4," a ",Basisgegevens!D160*100,"% / ",Basisgegevens!D4," a ",Basisgegevens!E160*100,"%")</f>
        <v>Meewerkaftrek: Alimentatie Plichtig a 0% / Alimentatie Gerechtigd a 0%</v>
      </c>
      <c r="C72" s="191" t="s">
        <v>69</v>
      </c>
      <c r="D72" s="303">
        <f>Basisgegevens!D160*D66</f>
        <v>0</v>
      </c>
      <c r="E72" s="2621"/>
      <c r="F72" s="303">
        <f>Basisgegevens!E160*F66</f>
        <v>0</v>
      </c>
      <c r="G72" s="2624"/>
      <c r="H72" s="1735"/>
      <c r="I72" s="2346">
        <v>72</v>
      </c>
    </row>
    <row r="73" spans="1:9" outlineLevel="1" x14ac:dyDescent="0.25">
      <c r="A73" s="1436">
        <v>74</v>
      </c>
      <c r="B73" s="84" t="s">
        <v>807</v>
      </c>
      <c r="C73" s="191" t="s">
        <v>69</v>
      </c>
      <c r="D73" s="304">
        <v>0</v>
      </c>
      <c r="E73" s="2621"/>
      <c r="F73" s="304">
        <v>0</v>
      </c>
      <c r="G73" s="2624"/>
      <c r="H73" s="1735" t="s">
        <v>794</v>
      </c>
      <c r="I73" s="2346">
        <v>73</v>
      </c>
    </row>
    <row r="74" spans="1:9" ht="15.75" outlineLevel="1" thickBot="1" x14ac:dyDescent="0.3">
      <c r="A74" s="1437"/>
      <c r="B74" s="288" t="str">
        <f>"MKB-winstvrijstelling a "&amp;BGMKBWinstVrijstelling*100&amp;" %"</f>
        <v>MKB-winstvrijstelling a 13,31 %</v>
      </c>
      <c r="C74" s="192" t="s">
        <v>69</v>
      </c>
      <c r="D74" s="305">
        <f>(D66-SUM(D69:D73))*BGMKBWinstVrijstelling</f>
        <v>0</v>
      </c>
      <c r="E74" s="2622"/>
      <c r="F74" s="305">
        <f>(F66-SUM(F69:F73))*BGMKBWinstVrijstelling</f>
        <v>0</v>
      </c>
      <c r="G74" s="2625"/>
      <c r="H74" s="1735" t="s">
        <v>794</v>
      </c>
      <c r="I74" s="2347">
        <v>74</v>
      </c>
    </row>
    <row r="75" spans="1:9" ht="16.5" thickBot="1" x14ac:dyDescent="0.3">
      <c r="A75" s="1448">
        <v>75</v>
      </c>
      <c r="B75" s="1821" t="s">
        <v>17</v>
      </c>
      <c r="C75" s="1787" t="s">
        <v>79</v>
      </c>
      <c r="D75" s="1289">
        <f>D66-SUM(D69:D74)</f>
        <v>0</v>
      </c>
      <c r="E75" s="1822">
        <f>D75</f>
        <v>0</v>
      </c>
      <c r="F75" s="1289">
        <f>F66-SUM(F69:F74)</f>
        <v>0</v>
      </c>
      <c r="G75" s="1788">
        <f>F75</f>
        <v>0</v>
      </c>
      <c r="H75" s="1823" t="s">
        <v>171</v>
      </c>
      <c r="I75" s="2342">
        <v>75</v>
      </c>
    </row>
    <row r="76" spans="1:9" ht="15.75" outlineLevel="1" thickBot="1" x14ac:dyDescent="0.3">
      <c r="A76" s="1825"/>
      <c r="B76" s="1710"/>
      <c r="C76" s="1826"/>
      <c r="D76" s="1827"/>
      <c r="E76" s="1167"/>
      <c r="F76" s="1827"/>
      <c r="G76" s="1167"/>
      <c r="H76" s="1747"/>
      <c r="I76" s="1196">
        <v>76</v>
      </c>
    </row>
    <row r="77" spans="1:9" ht="19.5" outlineLevel="1" thickBot="1" x14ac:dyDescent="0.3">
      <c r="A77" s="1872"/>
      <c r="B77" s="1862" t="s">
        <v>19</v>
      </c>
      <c r="C77" s="1873"/>
      <c r="D77" s="1874"/>
      <c r="E77" s="924"/>
      <c r="F77" s="1874"/>
      <c r="G77" s="924"/>
      <c r="H77" s="1976"/>
      <c r="I77" s="2191">
        <v>77</v>
      </c>
    </row>
    <row r="78" spans="1:9" ht="30" outlineLevel="1" x14ac:dyDescent="0.25">
      <c r="A78" s="1427">
        <v>76</v>
      </c>
      <c r="B78" s="86" t="s">
        <v>19</v>
      </c>
      <c r="C78" s="193" t="s">
        <v>74</v>
      </c>
      <c r="D78" s="917">
        <v>0</v>
      </c>
      <c r="E78" s="2632" t="s">
        <v>260</v>
      </c>
      <c r="F78" s="917">
        <v>0</v>
      </c>
      <c r="G78" s="2635" t="s">
        <v>260</v>
      </c>
      <c r="H78" s="1746" t="s">
        <v>739</v>
      </c>
      <c r="I78" s="67">
        <v>78</v>
      </c>
    </row>
    <row r="79" spans="1:9" ht="15.75" outlineLevel="1" thickBot="1" x14ac:dyDescent="0.3">
      <c r="A79" s="1429">
        <v>77</v>
      </c>
      <c r="B79" s="85" t="s">
        <v>10</v>
      </c>
      <c r="C79" s="192" t="s">
        <v>74</v>
      </c>
      <c r="D79" s="912">
        <v>0</v>
      </c>
      <c r="E79" s="2622"/>
      <c r="F79" s="912">
        <v>0</v>
      </c>
      <c r="G79" s="2625"/>
      <c r="H79" s="1688"/>
      <c r="I79" s="30">
        <v>79</v>
      </c>
    </row>
    <row r="80" spans="1:9" ht="16.5" thickBot="1" x14ac:dyDescent="0.3">
      <c r="A80" s="1448">
        <v>78</v>
      </c>
      <c r="B80" s="1821" t="s">
        <v>20</v>
      </c>
      <c r="C80" s="674" t="s">
        <v>82</v>
      </c>
      <c r="D80" s="1289">
        <f>SUM(D78:D79)</f>
        <v>0</v>
      </c>
      <c r="E80" s="1822">
        <f>D80</f>
        <v>0</v>
      </c>
      <c r="F80" s="1289">
        <f>SUM(F78:F79)</f>
        <v>0</v>
      </c>
      <c r="G80" s="1788">
        <f>F80</f>
        <v>0</v>
      </c>
      <c r="H80" s="1823" t="s">
        <v>292</v>
      </c>
      <c r="I80" s="2342">
        <v>80</v>
      </c>
    </row>
    <row r="81" spans="1:9" ht="15.75" outlineLevel="1" thickBot="1" x14ac:dyDescent="0.3">
      <c r="A81" s="1825"/>
      <c r="B81" s="1710"/>
      <c r="C81" s="1826"/>
      <c r="D81" s="1827"/>
      <c r="E81" s="1167"/>
      <c r="F81" s="1827"/>
      <c r="G81" s="1167"/>
      <c r="H81" s="1747"/>
      <c r="I81" s="1196">
        <v>81</v>
      </c>
    </row>
    <row r="82" spans="1:9" ht="19.5" outlineLevel="1" thickBot="1" x14ac:dyDescent="0.3">
      <c r="A82" s="1861"/>
      <c r="B82" s="1862" t="s">
        <v>926</v>
      </c>
      <c r="C82" s="1863"/>
      <c r="D82" s="1864"/>
      <c r="E82" s="928"/>
      <c r="F82" s="1864"/>
      <c r="G82" s="928"/>
      <c r="H82" s="1918"/>
      <c r="I82" s="2191">
        <v>82</v>
      </c>
    </row>
    <row r="83" spans="1:9" ht="30" outlineLevel="1" x14ac:dyDescent="0.25">
      <c r="A83" s="1427">
        <v>79</v>
      </c>
      <c r="B83" s="86" t="s">
        <v>21</v>
      </c>
      <c r="C83" s="193" t="s">
        <v>74</v>
      </c>
      <c r="D83" s="917">
        <v>0</v>
      </c>
      <c r="E83" s="1850">
        <f>D83</f>
        <v>0</v>
      </c>
      <c r="F83" s="917">
        <v>0</v>
      </c>
      <c r="G83" s="1165">
        <f>F83</f>
        <v>0</v>
      </c>
      <c r="H83" s="1746" t="s">
        <v>1001</v>
      </c>
      <c r="I83" s="67">
        <v>83</v>
      </c>
    </row>
    <row r="84" spans="1:9" ht="30" outlineLevel="1" x14ac:dyDescent="0.25">
      <c r="A84" s="1431" t="s">
        <v>709</v>
      </c>
      <c r="B84" s="1702" t="s">
        <v>1002</v>
      </c>
      <c r="C84" s="191" t="s">
        <v>74</v>
      </c>
      <c r="D84" s="883">
        <f>F280*12</f>
        <v>0</v>
      </c>
      <c r="E84" s="904" t="s">
        <v>260</v>
      </c>
      <c r="F84" s="883">
        <f>D280*12</f>
        <v>0</v>
      </c>
      <c r="G84" s="875" t="s">
        <v>260</v>
      </c>
      <c r="H84" s="1736" t="s">
        <v>877</v>
      </c>
      <c r="I84" s="166">
        <v>84</v>
      </c>
    </row>
    <row r="85" spans="1:9" ht="15.75" outlineLevel="1" thickBot="1" x14ac:dyDescent="0.3">
      <c r="A85" s="1438">
        <v>80</v>
      </c>
      <c r="B85" s="557" t="s">
        <v>22</v>
      </c>
      <c r="C85" s="197" t="s">
        <v>69</v>
      </c>
      <c r="D85" s="876">
        <v>0</v>
      </c>
      <c r="E85" s="895">
        <v>0</v>
      </c>
      <c r="F85" s="876">
        <v>0</v>
      </c>
      <c r="G85" s="876">
        <v>0</v>
      </c>
      <c r="H85" s="1741" t="s">
        <v>221</v>
      </c>
      <c r="I85" s="2348">
        <v>85</v>
      </c>
    </row>
    <row r="86" spans="1:9" ht="16.5" thickBot="1" x14ac:dyDescent="0.3">
      <c r="A86" s="1435">
        <v>81</v>
      </c>
      <c r="B86" s="385" t="s">
        <v>23</v>
      </c>
      <c r="C86" s="386" t="s">
        <v>80</v>
      </c>
      <c r="D86" s="913">
        <f>D83+D84-D85</f>
        <v>0</v>
      </c>
      <c r="E86" s="1163">
        <f>E83-E85</f>
        <v>0</v>
      </c>
      <c r="F86" s="913">
        <f>F83+F84-F85</f>
        <v>0</v>
      </c>
      <c r="G86" s="913">
        <f>G83-G85</f>
        <v>0</v>
      </c>
      <c r="H86" s="1745" t="s">
        <v>293</v>
      </c>
      <c r="I86" s="2344">
        <v>86</v>
      </c>
    </row>
    <row r="87" spans="1:9" ht="15.75" thickBot="1" x14ac:dyDescent="0.3">
      <c r="A87" s="1819"/>
      <c r="B87" s="112"/>
      <c r="C87" s="1820"/>
      <c r="D87" s="1794"/>
      <c r="E87" s="922"/>
      <c r="F87" s="1794"/>
      <c r="G87" s="922"/>
      <c r="H87" s="1757"/>
      <c r="I87" s="161">
        <v>87</v>
      </c>
    </row>
    <row r="88" spans="1:9" ht="19.5" thickBot="1" x14ac:dyDescent="0.3">
      <c r="A88" s="1851"/>
      <c r="B88" s="1867" t="s">
        <v>889</v>
      </c>
      <c r="C88" s="1868"/>
      <c r="D88" s="1853" t="str">
        <f>IF(BGOEWRekenModule="Nee","",Basisgegevens!P179)</f>
        <v/>
      </c>
      <c r="E88" s="1854"/>
      <c r="F88" s="1853">
        <f>IF(BGOEWRekenModule="Nee",0,Basisgegevens!Q179)</f>
        <v>0</v>
      </c>
      <c r="G88" s="1854"/>
      <c r="H88" s="1855"/>
      <c r="I88" s="2349">
        <v>88</v>
      </c>
    </row>
    <row r="89" spans="1:9" outlineLevel="1" x14ac:dyDescent="0.25">
      <c r="A89" s="1426">
        <f>Basisgegevens!L182</f>
        <v>81</v>
      </c>
      <c r="B89" s="1696" t="str">
        <f>"OEW Fictief inkomen: "&amp;Basisgegevens!M182</f>
        <v>OEW Fictief inkomen: Eigen Woning Forfait ontvangen als partneralimentatie</v>
      </c>
      <c r="C89" s="190" t="s">
        <v>74</v>
      </c>
      <c r="D89" s="1179">
        <f>IF(BGOEWRekenModule="Nee",0,BGOEW81EWFPA_AP)</f>
        <v>0</v>
      </c>
      <c r="E89" s="1156"/>
      <c r="F89" s="1179">
        <f>IF(BGOEWRekenModule="Nee",0,BGOEW81EWFPA_AG)</f>
        <v>0</v>
      </c>
      <c r="G89" s="1156"/>
      <c r="H89" s="1725" t="s">
        <v>1003</v>
      </c>
      <c r="I89" s="28">
        <v>89</v>
      </c>
    </row>
    <row r="90" spans="1:9" ht="15.75" outlineLevel="1" thickBot="1" x14ac:dyDescent="0.3">
      <c r="A90" s="1429">
        <f>Basisgegevens!L187</f>
        <v>81</v>
      </c>
      <c r="B90" s="1697" t="str">
        <f>"OEW Fictief inkomen: "&amp;Basisgegevens!M187</f>
        <v>OEW Fictief inkomen: Rente ontvangen als partneralimentatie</v>
      </c>
      <c r="C90" s="192" t="s">
        <v>74</v>
      </c>
      <c r="D90" s="1180">
        <f>IF(BGOEWRekenModule="Nee",0,BGOEW81RentePA_AP)</f>
        <v>0</v>
      </c>
      <c r="E90" s="1170"/>
      <c r="F90" s="1180">
        <f>IF(BGOEWRekenModule="Nee",0,BGOEW81RentePA_AG)</f>
        <v>0</v>
      </c>
      <c r="G90" s="1170"/>
      <c r="H90" s="1726" t="s">
        <v>1003</v>
      </c>
      <c r="I90" s="30">
        <v>90</v>
      </c>
    </row>
    <row r="91" spans="1:9" ht="15.75" thickBot="1" x14ac:dyDescent="0.3">
      <c r="A91" s="1448">
        <v>81</v>
      </c>
      <c r="B91" s="1856" t="s">
        <v>733</v>
      </c>
      <c r="C91" s="1787"/>
      <c r="D91" s="1289">
        <f>SUM(D89:D90)</f>
        <v>0</v>
      </c>
      <c r="E91" s="1822">
        <v>0</v>
      </c>
      <c r="F91" s="1788">
        <f>SUM(F89:F90)</f>
        <v>0</v>
      </c>
      <c r="G91" s="1788">
        <v>0</v>
      </c>
      <c r="H91" s="1802"/>
      <c r="I91" s="2342">
        <v>91</v>
      </c>
    </row>
    <row r="92" spans="1:9" s="102" customFormat="1" ht="15.75" thickBot="1" x14ac:dyDescent="0.3">
      <c r="A92" s="1865"/>
      <c r="B92" s="1857"/>
      <c r="C92" s="1858"/>
      <c r="D92" s="1859"/>
      <c r="E92" s="1859"/>
      <c r="F92" s="1859"/>
      <c r="G92" s="1859"/>
      <c r="H92" s="1757"/>
      <c r="I92" s="1982">
        <v>92</v>
      </c>
    </row>
    <row r="93" spans="1:9" s="102" customFormat="1" ht="19.5" thickBot="1" x14ac:dyDescent="0.3">
      <c r="A93" s="1866"/>
      <c r="B93" s="1867" t="s">
        <v>284</v>
      </c>
      <c r="C93" s="1868"/>
      <c r="D93" s="1169" t="str">
        <f>IF(BGOEWRekenModule="Nee","",Basisgegevens!P179)</f>
        <v/>
      </c>
      <c r="E93" s="1169" t="str">
        <f>IF(BGOEWRekenModule="Nee","",Basisgegevens!P179)</f>
        <v/>
      </c>
      <c r="F93" s="1169">
        <f>IF(BGOEWRekenModule="Nee",0,Basisgegevens!Q179)</f>
        <v>0</v>
      </c>
      <c r="G93" s="1169">
        <f>IF(BGOEWRekenModule="Nee",0,Basisgegevens!Q179)</f>
        <v>0</v>
      </c>
      <c r="H93" s="1748"/>
      <c r="I93" s="1869">
        <v>93</v>
      </c>
    </row>
    <row r="94" spans="1:9" outlineLevel="1" x14ac:dyDescent="0.25">
      <c r="A94" s="1427">
        <v>82</v>
      </c>
      <c r="B94" s="86" t="s">
        <v>797</v>
      </c>
      <c r="C94" s="193" t="s">
        <v>74</v>
      </c>
      <c r="D94" s="881">
        <f>IF(BGOEWRekenModule="Ja",Basisgegevens!F185,Basisgegevens!E172+Basisgegevens!F185)</f>
        <v>0</v>
      </c>
      <c r="E94" s="2652" t="s">
        <v>260</v>
      </c>
      <c r="F94" s="881">
        <f>IF(BGOEWRekenModule="Ja",Basisgegevens!E185,Basisgegevens!F172+Basisgegevens!E185)</f>
        <v>0</v>
      </c>
      <c r="G94" s="2652" t="s">
        <v>260</v>
      </c>
      <c r="H94" s="1746"/>
      <c r="I94" s="67">
        <v>94</v>
      </c>
    </row>
    <row r="95" spans="1:9" outlineLevel="1" x14ac:dyDescent="0.25">
      <c r="A95" s="1427" t="str">
        <f>Basisgegevens!L183</f>
        <v>82a</v>
      </c>
      <c r="B95" s="86" t="str">
        <f>"OEW: "&amp;Basisgegevens!M183</f>
        <v>OEW: Eigen Woning Forfait van de Onverdeeld Eigen Woning</v>
      </c>
      <c r="C95" s="193" t="s">
        <v>74</v>
      </c>
      <c r="D95" s="881">
        <f>IF(BGOEWRekenModule="Nee",0,BGOEW82aEWF_AP)</f>
        <v>0</v>
      </c>
      <c r="E95" s="2653"/>
      <c r="F95" s="881">
        <f>IF(BGOEWRekenModule="Nee",0,BGOEW82aEWF_AG)</f>
        <v>0</v>
      </c>
      <c r="G95" s="2653"/>
      <c r="H95" s="1746" t="s">
        <v>1003</v>
      </c>
      <c r="I95" s="67">
        <v>95</v>
      </c>
    </row>
    <row r="96" spans="1:9" ht="30" outlineLevel="1" x14ac:dyDescent="0.25">
      <c r="A96" s="1427">
        <v>82</v>
      </c>
      <c r="B96" s="86" t="str">
        <f>"Bij geen/kleine eigen woningschuld is er recht op aftrek van "&amp;BG082EWFAfbouwtarief*100&amp;"% over het EWF minus de aftrekbare kosten"</f>
        <v>Bij geen/kleine eigen woningschuld is er recht op aftrek van 80,01% over het EWF minus de aftrekbare kosten</v>
      </c>
      <c r="C96" s="191" t="s">
        <v>69</v>
      </c>
      <c r="D96" s="881">
        <f>IF(SUM(D94:D95)-SUM(D97:D101)&gt;0,(SUM(D94:D95)-SUM(D97:D101))*BG082EWFAfbouwtarief,0)</f>
        <v>0</v>
      </c>
      <c r="E96" s="2653"/>
      <c r="F96" s="881">
        <f>IF(F94-SUM(F97:F101)&gt;0,(F94-SUM(F97:F101))*BG082EWFAfbouwtarief,0)</f>
        <v>0</v>
      </c>
      <c r="G96" s="2653"/>
      <c r="H96" s="1746" t="s">
        <v>798</v>
      </c>
      <c r="I96" s="67">
        <v>96</v>
      </c>
    </row>
    <row r="97" spans="1:9" outlineLevel="1" x14ac:dyDescent="0.25">
      <c r="A97" s="1436">
        <v>83</v>
      </c>
      <c r="B97" s="84" t="s">
        <v>172</v>
      </c>
      <c r="C97" s="191" t="s">
        <v>69</v>
      </c>
      <c r="D97" s="1165">
        <f>IF(BG083HypRenteWoning1="Zie OEW",Basisgegevens!F189,Basisgegevens!E176+Basisgegevens!F189)</f>
        <v>0</v>
      </c>
      <c r="E97" s="2653"/>
      <c r="F97" s="303">
        <f>IF(BG083HypRenteWoning1="Zie OEW",Basisgegevens!E189,Basisgegevens!F176+Basisgegevens!E189)</f>
        <v>0</v>
      </c>
      <c r="G97" s="2653"/>
      <c r="H97" s="1735"/>
      <c r="I97" s="2346">
        <v>97</v>
      </c>
    </row>
    <row r="98" spans="1:9" outlineLevel="1" x14ac:dyDescent="0.25">
      <c r="A98" s="1439" t="str">
        <f>Basisgegevens!L188</f>
        <v>83a</v>
      </c>
      <c r="B98" s="94" t="str">
        <f>"OEW: "&amp;Basisgegevens!M188</f>
        <v>OEW: Rente Onverdeeld Eigen Woning Eigen aandeel</v>
      </c>
      <c r="C98" s="191" t="s">
        <v>69</v>
      </c>
      <c r="D98" s="303">
        <f>IF(BGOEWRekenModule="Nee",0,BGOEW83aRente_AP)</f>
        <v>0</v>
      </c>
      <c r="E98" s="2654"/>
      <c r="F98" s="303">
        <f>IF(BGOEWRekenModule="Nee",0,BGOEW83aRente_AG)</f>
        <v>0</v>
      </c>
      <c r="G98" s="2654"/>
      <c r="H98" s="1746" t="s">
        <v>1003</v>
      </c>
      <c r="I98" s="2350">
        <v>98</v>
      </c>
    </row>
    <row r="99" spans="1:9" outlineLevel="1" x14ac:dyDescent="0.25">
      <c r="A99" s="1439" t="str">
        <f>Basisgegevens!L189</f>
        <v>83a</v>
      </c>
      <c r="B99" s="94" t="str">
        <f>"OEW: "&amp;Basisgegevens!M189</f>
        <v>OEW: Rente betaald voor ex. partner als partneralimentatie</v>
      </c>
      <c r="C99" s="191" t="s">
        <v>69</v>
      </c>
      <c r="D99" s="303">
        <f>IF(BGOEWRekenModule="Nee",0,BGOEW83aRentePA_AP)</f>
        <v>0</v>
      </c>
      <c r="E99" s="2654"/>
      <c r="F99" s="303">
        <f>IF(BGOEWRekenModule="Nee",0,BGOEW83aRentePA_AG)</f>
        <v>0</v>
      </c>
      <c r="G99" s="2654"/>
      <c r="H99" s="1746" t="s">
        <v>1003</v>
      </c>
      <c r="I99" s="2350">
        <v>99</v>
      </c>
    </row>
    <row r="100" spans="1:9" ht="30" outlineLevel="1" x14ac:dyDescent="0.25">
      <c r="A100" s="1431" t="s">
        <v>751</v>
      </c>
      <c r="B100" s="1702" t="s">
        <v>890</v>
      </c>
      <c r="C100" s="191" t="s">
        <v>69</v>
      </c>
      <c r="D100" s="883">
        <f>F280*12</f>
        <v>0</v>
      </c>
      <c r="E100" s="2654"/>
      <c r="F100" s="883">
        <f>D280*12</f>
        <v>0</v>
      </c>
      <c r="G100" s="2654"/>
      <c r="H100" s="1735" t="s">
        <v>748</v>
      </c>
      <c r="I100" s="166">
        <v>100</v>
      </c>
    </row>
    <row r="101" spans="1:9" ht="15.75" outlineLevel="1" thickBot="1" x14ac:dyDescent="0.3">
      <c r="A101" s="1439">
        <v>84</v>
      </c>
      <c r="B101" s="94" t="str">
        <f>IF(BGOEWRekenModule="Ja","OEW: ","")&amp;"Periodieke betalingen van erfpacht e.d."</f>
        <v>Periodieke betalingen van erfpacht e.d.</v>
      </c>
      <c r="C101" s="199" t="s">
        <v>69</v>
      </c>
      <c r="D101" s="883">
        <f>IF(BGOEWRekenModule="Nee",Basisgegevens!E177+Basisgegevens!F190,IF(AND(BGOEWRekenModule="Ja",BGOEWErfpacht=BGPartner_AP),Basisgegevens!C177,IF(AND(BGOEWRekenModule="Ja",BGOEWErfpacht=Keuzelijsten!$R$4),Basisgegevens!C177/2,0)))*12</f>
        <v>0</v>
      </c>
      <c r="E101" s="2655"/>
      <c r="F101" s="883">
        <f>IF(BGOEWRekenModule="Nee",Basisgegevens!F177+Basisgegevens!E190,IF(AND(BGOEWRekenModule="Ja",BGOEWErfpacht=BGPartner_AG),Basisgegevens!C177,IF(AND(BGOEWRekenModule="Ja",BGOEWErfpacht=Keuzelijsten!$R$4),Basisgegevens!C177/2,0)))*12</f>
        <v>0</v>
      </c>
      <c r="G101" s="2655"/>
      <c r="H101" s="1736"/>
      <c r="I101" s="2350">
        <v>101</v>
      </c>
    </row>
    <row r="102" spans="1:9" ht="16.5" thickBot="1" x14ac:dyDescent="0.3">
      <c r="A102" s="1448">
        <v>85</v>
      </c>
      <c r="B102" s="1821" t="s">
        <v>1004</v>
      </c>
      <c r="C102" s="674" t="s">
        <v>81</v>
      </c>
      <c r="D102" s="1289">
        <f>SUM(D94:D95)-SUM(D96:D101)</f>
        <v>0</v>
      </c>
      <c r="E102" s="1822">
        <v>0</v>
      </c>
      <c r="F102" s="1289">
        <f>SUM(F94:F95)-SUM(F96:F101)</f>
        <v>0</v>
      </c>
      <c r="G102" s="1860">
        <v>0</v>
      </c>
      <c r="H102" s="1711" t="s">
        <v>297</v>
      </c>
      <c r="I102" s="2342">
        <v>102</v>
      </c>
    </row>
    <row r="103" spans="1:9" ht="15.75" thickBot="1" x14ac:dyDescent="0.3">
      <c r="A103" s="1819"/>
      <c r="B103" s="1857"/>
      <c r="C103" s="1858"/>
      <c r="D103" s="1859"/>
      <c r="E103" s="1859"/>
      <c r="F103" s="1859"/>
      <c r="G103" s="1859"/>
      <c r="H103" s="1757"/>
      <c r="I103" s="161">
        <v>103</v>
      </c>
    </row>
    <row r="104" spans="1:9" ht="19.5" thickBot="1" x14ac:dyDescent="0.3">
      <c r="A104" s="1986"/>
      <c r="B104" s="1987" t="s">
        <v>285</v>
      </c>
      <c r="C104" s="1988"/>
      <c r="D104" s="1989"/>
      <c r="E104" s="1870"/>
      <c r="F104" s="1989"/>
      <c r="G104" s="1870"/>
      <c r="H104" s="1855"/>
      <c r="I104" s="2349">
        <v>104</v>
      </c>
    </row>
    <row r="105" spans="1:9" ht="30" outlineLevel="1" x14ac:dyDescent="0.25">
      <c r="A105" s="1427">
        <v>86</v>
      </c>
      <c r="B105" s="86" t="s">
        <v>24</v>
      </c>
      <c r="C105" s="193" t="s">
        <v>74</v>
      </c>
      <c r="D105" s="917">
        <v>0</v>
      </c>
      <c r="E105" s="2632" t="s">
        <v>260</v>
      </c>
      <c r="F105" s="917">
        <v>0</v>
      </c>
      <c r="G105" s="2635" t="s">
        <v>260</v>
      </c>
      <c r="H105" s="1746" t="s">
        <v>174</v>
      </c>
      <c r="I105" s="67">
        <v>105</v>
      </c>
    </row>
    <row r="106" spans="1:9" outlineLevel="1" x14ac:dyDescent="0.25">
      <c r="A106" s="1428">
        <v>87</v>
      </c>
      <c r="B106" s="84" t="s">
        <v>25</v>
      </c>
      <c r="C106" s="191" t="s">
        <v>74</v>
      </c>
      <c r="D106" s="304">
        <v>0</v>
      </c>
      <c r="E106" s="2621"/>
      <c r="F106" s="304">
        <v>0</v>
      </c>
      <c r="G106" s="2624"/>
      <c r="H106" s="1735" t="s">
        <v>175</v>
      </c>
      <c r="I106" s="66">
        <v>106</v>
      </c>
    </row>
    <row r="107" spans="1:9" ht="15.75" outlineLevel="1" thickBot="1" x14ac:dyDescent="0.3">
      <c r="A107" s="1440">
        <v>88</v>
      </c>
      <c r="B107" s="558" t="s">
        <v>26</v>
      </c>
      <c r="C107" s="391" t="s">
        <v>74</v>
      </c>
      <c r="D107" s="1136">
        <v>0</v>
      </c>
      <c r="E107" s="2651"/>
      <c r="F107" s="914">
        <v>0</v>
      </c>
      <c r="G107" s="2650"/>
      <c r="H107" s="1749" t="s">
        <v>221</v>
      </c>
      <c r="I107" s="2351">
        <v>107</v>
      </c>
    </row>
    <row r="108" spans="1:9" ht="16.5" thickBot="1" x14ac:dyDescent="0.3">
      <c r="A108" s="1430">
        <v>89</v>
      </c>
      <c r="B108" s="179" t="s">
        <v>27</v>
      </c>
      <c r="C108" s="289" t="s">
        <v>83</v>
      </c>
      <c r="D108" s="880">
        <f>SUM(D105:D107)</f>
        <v>0</v>
      </c>
      <c r="E108" s="920">
        <f>D108</f>
        <v>0</v>
      </c>
      <c r="F108" s="880">
        <f>SUM(F105:F107)</f>
        <v>0</v>
      </c>
      <c r="G108" s="868">
        <f>F108</f>
        <v>0</v>
      </c>
      <c r="H108" s="1727" t="s">
        <v>176</v>
      </c>
      <c r="I108" s="584">
        <v>108</v>
      </c>
    </row>
    <row r="109" spans="1:9" ht="15.75" thickBot="1" x14ac:dyDescent="0.3">
      <c r="A109" s="1819"/>
      <c r="B109" s="1857"/>
      <c r="C109" s="1858"/>
      <c r="D109" s="1859"/>
      <c r="E109" s="1859"/>
      <c r="F109" s="1859"/>
      <c r="G109" s="1859"/>
      <c r="H109" s="1757"/>
      <c r="I109" s="161">
        <v>109</v>
      </c>
    </row>
    <row r="110" spans="1:9" ht="16.5" thickBot="1" x14ac:dyDescent="0.3">
      <c r="A110" s="1875">
        <v>90</v>
      </c>
      <c r="B110" s="1876" t="s">
        <v>749</v>
      </c>
      <c r="C110" s="1877" t="s">
        <v>84</v>
      </c>
      <c r="D110" s="1878">
        <v>0</v>
      </c>
      <c r="E110" s="1879">
        <f>D110</f>
        <v>0</v>
      </c>
      <c r="F110" s="1880">
        <v>0</v>
      </c>
      <c r="G110" s="1880">
        <f>F110</f>
        <v>0</v>
      </c>
      <c r="H110" s="2492" t="s">
        <v>750</v>
      </c>
      <c r="I110" s="2352">
        <v>110</v>
      </c>
    </row>
    <row r="111" spans="1:9" ht="15.75" outlineLevel="1" thickBot="1" x14ac:dyDescent="0.3">
      <c r="A111" s="1825"/>
      <c r="B111" s="1710"/>
      <c r="C111" s="1826"/>
      <c r="D111" s="1827"/>
      <c r="E111" s="1827"/>
      <c r="F111" s="1827"/>
      <c r="G111" s="1827"/>
      <c r="H111" s="1747"/>
      <c r="I111" s="1196">
        <v>111</v>
      </c>
    </row>
    <row r="112" spans="1:9" ht="19.5" outlineLevel="1" thickBot="1" x14ac:dyDescent="0.3">
      <c r="A112" s="1861"/>
      <c r="B112" s="1862" t="s">
        <v>927</v>
      </c>
      <c r="C112" s="1863"/>
      <c r="D112" s="1864"/>
      <c r="E112" s="1864"/>
      <c r="F112" s="1864"/>
      <c r="G112" s="1864"/>
      <c r="H112" s="1918"/>
      <c r="I112" s="2191">
        <v>112</v>
      </c>
    </row>
    <row r="113" spans="1:9" ht="30" outlineLevel="1" x14ac:dyDescent="0.25">
      <c r="A113" s="1849">
        <v>91</v>
      </c>
      <c r="B113" s="86" t="str">
        <f>"Buitengewone uitgaven (minus een drempel van € "&amp;ROUND(Basisgegevens!Q147,0)&amp;" respectievelijk € "&amp;ROUND(Basisgegevens!R147,0)&amp;")"</f>
        <v>Buitengewone uitgaven (minus een drempel van € 0 respectievelijk € 0)</v>
      </c>
      <c r="C113" s="193" t="s">
        <v>74</v>
      </c>
      <c r="D113" s="917">
        <v>0</v>
      </c>
      <c r="E113" s="1850">
        <f>D113</f>
        <v>0</v>
      </c>
      <c r="F113" s="917">
        <v>0</v>
      </c>
      <c r="G113" s="1165">
        <f>F113</f>
        <v>0</v>
      </c>
      <c r="H113" s="1746" t="s">
        <v>179</v>
      </c>
      <c r="I113" s="2345">
        <v>113</v>
      </c>
    </row>
    <row r="114" spans="1:9" outlineLevel="1" x14ac:dyDescent="0.25">
      <c r="A114" s="1431" t="str">
        <f>Basisgegevens!L184</f>
        <v>92a</v>
      </c>
      <c r="B114" s="1698" t="str">
        <f>"OEW: "&amp;Basisgegevens!M184&amp;" (Woongenot)"</f>
        <v>OEW: Eigen Woning Forfait betaald als partneralimentatie (Woongenot)</v>
      </c>
      <c r="C114" s="191" t="s">
        <v>74</v>
      </c>
      <c r="D114" s="1164">
        <f>IF(BGOEWRekenModule="Nee",0,BGOEW92aEWFPA_AP)</f>
        <v>0</v>
      </c>
      <c r="E114" s="904" t="s">
        <v>754</v>
      </c>
      <c r="F114" s="1164">
        <f>IF(BGOEWRekenModule="Nee",0,BGOEW92aEWFPA_AG)</f>
        <v>0</v>
      </c>
      <c r="G114" s="875" t="s">
        <v>754</v>
      </c>
      <c r="H114" s="1746" t="s">
        <v>1003</v>
      </c>
      <c r="I114" s="166">
        <v>114</v>
      </c>
    </row>
    <row r="115" spans="1:9" ht="60" customHeight="1" outlineLevel="1" thickBot="1" x14ac:dyDescent="0.3">
      <c r="A115" s="1441">
        <v>92</v>
      </c>
      <c r="B115" s="558" t="str">
        <f>CONCATENATE("Scholingsuitgaven (minus een drempel van € ",ROUND(Basisgegevens!N199,0)," / maximaal aftrekbaar: € ",ROUND(Basisgegevens!O199,0),")")</f>
        <v>Scholingsuitgaven (minus een drempel van € 0 / maximaal aftrekbaar: € 0)</v>
      </c>
      <c r="C115" s="1090" t="s">
        <v>74</v>
      </c>
      <c r="D115" s="1091">
        <v>0</v>
      </c>
      <c r="E115" s="1091">
        <v>0</v>
      </c>
      <c r="F115" s="1091">
        <v>0</v>
      </c>
      <c r="G115" s="625"/>
      <c r="H115" s="1736" t="s">
        <v>660</v>
      </c>
      <c r="I115" s="2353">
        <v>115</v>
      </c>
    </row>
    <row r="116" spans="1:9" ht="16.5" thickBot="1" x14ac:dyDescent="0.3">
      <c r="A116" s="1430">
        <v>93</v>
      </c>
      <c r="B116" s="179" t="s">
        <v>28</v>
      </c>
      <c r="C116" s="394" t="s">
        <v>85</v>
      </c>
      <c r="D116" s="880">
        <f>SUM(D113:D115)</f>
        <v>0</v>
      </c>
      <c r="E116" s="880">
        <f>SUM(E113:E115)</f>
        <v>0</v>
      </c>
      <c r="F116" s="880">
        <f>SUM(F113:F115)</f>
        <v>0</v>
      </c>
      <c r="G116" s="880">
        <f>SUM(G113:G115)</f>
        <v>0</v>
      </c>
      <c r="H116" s="1727" t="s">
        <v>294</v>
      </c>
      <c r="I116" s="584">
        <v>116</v>
      </c>
    </row>
    <row r="117" spans="1:9" ht="15.75" thickBot="1" x14ac:dyDescent="0.3">
      <c r="A117" s="1825"/>
      <c r="B117" s="2205"/>
      <c r="C117" s="2223"/>
      <c r="D117" s="2224"/>
      <c r="E117" s="2224"/>
      <c r="F117" s="2224"/>
      <c r="G117" s="2224"/>
      <c r="H117" s="1747"/>
      <c r="I117" s="1196">
        <v>117</v>
      </c>
    </row>
    <row r="118" spans="1:9" ht="19.5" thickBot="1" x14ac:dyDescent="0.3">
      <c r="A118" s="1861"/>
      <c r="B118" s="1862" t="s">
        <v>286</v>
      </c>
      <c r="C118" s="1863"/>
      <c r="D118" s="1864"/>
      <c r="E118" s="1864"/>
      <c r="F118" s="1864"/>
      <c r="G118" s="1864"/>
      <c r="H118" s="2337"/>
      <c r="I118" s="2191">
        <v>118</v>
      </c>
    </row>
    <row r="119" spans="1:9" outlineLevel="1" x14ac:dyDescent="0.25">
      <c r="A119" s="2225">
        <f>A56</f>
        <v>64</v>
      </c>
      <c r="B119" s="397" t="str">
        <f>B56</f>
        <v>Belastbaar loon:</v>
      </c>
      <c r="C119" s="2209" t="str">
        <f>C56</f>
        <v>(a)</v>
      </c>
      <c r="D119" s="2226">
        <f>AL64BelastbaarLoon_AP</f>
        <v>0</v>
      </c>
      <c r="E119" s="2226">
        <f>E56</f>
        <v>0</v>
      </c>
      <c r="F119" s="2226">
        <f>AL64BelastbaarLoon_AG</f>
        <v>0</v>
      </c>
      <c r="G119" s="881">
        <f>G56</f>
        <v>0</v>
      </c>
      <c r="H119" s="1750" t="s">
        <v>287</v>
      </c>
      <c r="I119" s="2354">
        <v>119</v>
      </c>
    </row>
    <row r="120" spans="1:9" outlineLevel="1" x14ac:dyDescent="0.25">
      <c r="A120" s="2213">
        <f>A75</f>
        <v>75</v>
      </c>
      <c r="B120" s="312" t="str">
        <f>B75</f>
        <v>Belastbare winst uit onderneming:</v>
      </c>
      <c r="C120" s="1173" t="str">
        <f>C75</f>
        <v>(b)</v>
      </c>
      <c r="D120" s="2002">
        <f>AL75BelastbareWinst_AP</f>
        <v>0</v>
      </c>
      <c r="E120" s="2002">
        <f>E75</f>
        <v>0</v>
      </c>
      <c r="F120" s="2002">
        <f>AL75BelastbareWinst_AG</f>
        <v>0</v>
      </c>
      <c r="G120" s="303">
        <f>G75</f>
        <v>0</v>
      </c>
      <c r="H120" s="1139" t="s">
        <v>287</v>
      </c>
      <c r="I120" s="954">
        <v>120</v>
      </c>
    </row>
    <row r="121" spans="1:9" outlineLevel="1" x14ac:dyDescent="0.25">
      <c r="A121" s="2213">
        <f>A80</f>
        <v>78</v>
      </c>
      <c r="B121" s="312" t="str">
        <f>B80</f>
        <v>Belastbaar resultaat uit overige werkzaamheden:</v>
      </c>
      <c r="C121" s="1173" t="str">
        <f>C80</f>
        <v xml:space="preserve">(c) </v>
      </c>
      <c r="D121" s="2002">
        <f>AL78OverigeWerkz_AP</f>
        <v>0</v>
      </c>
      <c r="E121" s="2002">
        <f>E80</f>
        <v>0</v>
      </c>
      <c r="F121" s="2002">
        <f>AL78OverigeWerkz_AG</f>
        <v>0</v>
      </c>
      <c r="G121" s="303">
        <f>G80</f>
        <v>0</v>
      </c>
      <c r="H121" s="1139" t="s">
        <v>287</v>
      </c>
      <c r="I121" s="954">
        <v>121</v>
      </c>
    </row>
    <row r="122" spans="1:9" s="1991" customFormat="1" ht="30" customHeight="1" outlineLevel="1" x14ac:dyDescent="0.25">
      <c r="A122" s="2214" t="str">
        <f>A84</f>
        <v>79a</v>
      </c>
      <c r="B122" s="2211" t="str">
        <f>B84</f>
        <v>VEW: De na scheiding door de ex-partner betaalde hypotheeklasten als partneralimentatie  (zie "Basisgegevens" onder 138)</v>
      </c>
      <c r="C122" s="1690"/>
      <c r="D122" s="2218">
        <f>D84</f>
        <v>0</v>
      </c>
      <c r="E122" s="2219" t="s">
        <v>754</v>
      </c>
      <c r="F122" s="2222">
        <f>F84</f>
        <v>0</v>
      </c>
      <c r="G122" s="1713" t="s">
        <v>754</v>
      </c>
      <c r="H122" s="1990"/>
      <c r="I122" s="2355">
        <v>122</v>
      </c>
    </row>
    <row r="123" spans="1:9" outlineLevel="1" x14ac:dyDescent="0.25">
      <c r="A123" s="2213">
        <f>A86</f>
        <v>81</v>
      </c>
      <c r="B123" s="312" t="str">
        <f>B86</f>
        <v>Belastbare periodieke uitkeringen en verstrekkingen:</v>
      </c>
      <c r="C123" s="1173" t="str">
        <f>C86</f>
        <v>(d)</v>
      </c>
      <c r="D123" s="2002">
        <f>AL81PeriodiekeUitk_AP</f>
        <v>0</v>
      </c>
      <c r="E123" s="2220">
        <f>AL81PeriodiekeUitk_KA_AP</f>
        <v>0</v>
      </c>
      <c r="F123" s="2220">
        <f>AL81PeriodiekeUitk_AG</f>
        <v>0</v>
      </c>
      <c r="G123" s="874">
        <f>AL81PeriodiekeUitk_KA_AG</f>
        <v>0</v>
      </c>
      <c r="H123" s="1139" t="s">
        <v>287</v>
      </c>
      <c r="I123" s="954">
        <v>123</v>
      </c>
    </row>
    <row r="124" spans="1:9" outlineLevel="1" x14ac:dyDescent="0.25">
      <c r="A124" s="2213">
        <f>A91</f>
        <v>81</v>
      </c>
      <c r="B124" s="312" t="str">
        <f>B91</f>
        <v>OEW: Totaal fictief PA-inkomen verkregen via EWF / Rente:</v>
      </c>
      <c r="C124" s="2216"/>
      <c r="D124" s="2002">
        <f>AL81OEWFictiefInk_AP</f>
        <v>0</v>
      </c>
      <c r="E124" s="2219" t="s">
        <v>754</v>
      </c>
      <c r="F124" s="2220">
        <f>AL81OEWFictiefInk_AG</f>
        <v>0</v>
      </c>
      <c r="G124" s="1713" t="s">
        <v>754</v>
      </c>
      <c r="H124" s="1139" t="s">
        <v>287</v>
      </c>
      <c r="I124" s="954">
        <v>124</v>
      </c>
    </row>
    <row r="125" spans="1:9" ht="15.75" outlineLevel="1" thickBot="1" x14ac:dyDescent="0.3">
      <c r="A125" s="2213">
        <f>A102</f>
        <v>85</v>
      </c>
      <c r="B125" s="312" t="str">
        <f>B102</f>
        <v>Belastbare inkomsten uit eigen woning:</v>
      </c>
      <c r="C125" s="1174" t="str">
        <f>C102</f>
        <v xml:space="preserve">(e) </v>
      </c>
      <c r="D125" s="2219" t="s">
        <v>754</v>
      </c>
      <c r="E125" s="2219" t="s">
        <v>754</v>
      </c>
      <c r="F125" s="2219" t="s">
        <v>754</v>
      </c>
      <c r="G125" s="1713" t="s">
        <v>260</v>
      </c>
      <c r="H125" s="1141" t="s">
        <v>883</v>
      </c>
      <c r="I125" s="954">
        <v>125</v>
      </c>
    </row>
    <row r="126" spans="1:9" outlineLevel="1" x14ac:dyDescent="0.25">
      <c r="A126" s="2213">
        <f>A108</f>
        <v>89</v>
      </c>
      <c r="B126" s="312" t="str">
        <f>B108</f>
        <v>Uitgaven voor inkomensvoorziening:</v>
      </c>
      <c r="C126" s="2209" t="str">
        <f>C108</f>
        <v>(f)</v>
      </c>
      <c r="D126" s="2002">
        <f>AL89Inkomensvoorz_AP</f>
        <v>0</v>
      </c>
      <c r="E126" s="2002">
        <f>E108</f>
        <v>0</v>
      </c>
      <c r="F126" s="2002">
        <f>AL89Inkomensvoorz_AG</f>
        <v>0</v>
      </c>
      <c r="G126" s="303">
        <f>G108</f>
        <v>0</v>
      </c>
      <c r="H126" s="1750" t="s">
        <v>287</v>
      </c>
      <c r="I126" s="954">
        <v>126</v>
      </c>
    </row>
    <row r="127" spans="1:9" outlineLevel="1" x14ac:dyDescent="0.25">
      <c r="A127" s="2213">
        <f>A110</f>
        <v>90</v>
      </c>
      <c r="B127" s="312" t="str">
        <f>B110</f>
        <v>Uitgaven voor kinderopvang (vervallen):</v>
      </c>
      <c r="C127" s="1173" t="str">
        <f>C110</f>
        <v>(g)</v>
      </c>
      <c r="D127" s="2002">
        <f>AL90Kinderopvang_AP</f>
        <v>0</v>
      </c>
      <c r="E127" s="2002">
        <f>E110</f>
        <v>0</v>
      </c>
      <c r="F127" s="2002">
        <f>AL90Kinderopvang_AG</f>
        <v>0</v>
      </c>
      <c r="G127" s="303">
        <f>G110</f>
        <v>0</v>
      </c>
      <c r="H127" s="1139" t="s">
        <v>287</v>
      </c>
      <c r="I127" s="954">
        <v>127</v>
      </c>
    </row>
    <row r="128" spans="1:9" ht="15.75" outlineLevel="1" thickBot="1" x14ac:dyDescent="0.3">
      <c r="A128" s="2215">
        <f>A116</f>
        <v>93</v>
      </c>
      <c r="B128" s="1172" t="str">
        <f>B116</f>
        <v>Persoonsgebonden aftrek:</v>
      </c>
      <c r="C128" s="1174" t="str">
        <f>C116</f>
        <v>(h)</v>
      </c>
      <c r="D128" s="1804">
        <f>AL93PersGebAftrek_AP</f>
        <v>0</v>
      </c>
      <c r="E128" s="1804">
        <f>E116</f>
        <v>0</v>
      </c>
      <c r="F128" s="1804">
        <f>AL93PersGebAftrek_AG</f>
        <v>0</v>
      </c>
      <c r="G128" s="305">
        <f>G116</f>
        <v>0</v>
      </c>
      <c r="H128" s="1751" t="s">
        <v>287</v>
      </c>
      <c r="I128" s="955">
        <v>128</v>
      </c>
    </row>
    <row r="129" spans="1:9" ht="16.5" thickBot="1" x14ac:dyDescent="0.3">
      <c r="A129" s="2210">
        <v>94</v>
      </c>
      <c r="B129" s="2037" t="s">
        <v>781</v>
      </c>
      <c r="C129" s="2212"/>
      <c r="D129" s="2217">
        <f>SUM(D119:D125)-SUM(D126:D128)</f>
        <v>0</v>
      </c>
      <c r="E129" s="2217">
        <f>SUM(E119:E125)-SUM(E126:E128)</f>
        <v>0</v>
      </c>
      <c r="F129" s="2221">
        <f>SUM(F119:F125)-SUM(F126:F128)</f>
        <v>0</v>
      </c>
      <c r="G129" s="2217">
        <f>SUM(G119:G125)-SUM(G126:G128)</f>
        <v>0</v>
      </c>
      <c r="H129" s="1752" t="s">
        <v>177</v>
      </c>
      <c r="I129" s="2356">
        <v>129</v>
      </c>
    </row>
    <row r="130" spans="1:9" outlineLevel="1" x14ac:dyDescent="0.25">
      <c r="A130" s="1427"/>
      <c r="B130" s="311" t="str">
        <f>Basisgegevens!N8&amp;" / "&amp;Basisgegevens!R8</f>
        <v>1: 0 tot 75518 tarief: 36,97% - Max. 27919 / 1: 0 tot 75518 tarief: 36,97% - Max. 27919</v>
      </c>
      <c r="C130" s="193" t="s">
        <v>74</v>
      </c>
      <c r="D130" s="881">
        <f>Basisgegevens!M8</f>
        <v>0</v>
      </c>
      <c r="E130" s="881">
        <f>Basisgegevens!T8</f>
        <v>0</v>
      </c>
      <c r="F130" s="1233">
        <f>Basisgegevens!Q8</f>
        <v>0</v>
      </c>
      <c r="G130" s="881">
        <f>Basisgegevens!U8</f>
        <v>0</v>
      </c>
      <c r="H130" s="1687"/>
      <c r="I130" s="67">
        <v>130</v>
      </c>
    </row>
    <row r="131" spans="1:9" outlineLevel="1" x14ac:dyDescent="0.25">
      <c r="A131" s="1428"/>
      <c r="B131" s="359" t="str">
        <f>Basisgegevens!N9&amp;" / "&amp;Basisgegevens!R9</f>
        <v>2: vanaf 75518 tarief: 49,5% / 2: vanaf 75518 tarief: 49,5%</v>
      </c>
      <c r="C131" s="191" t="s">
        <v>74</v>
      </c>
      <c r="D131" s="303">
        <f>Basisgegevens!M9</f>
        <v>0</v>
      </c>
      <c r="E131" s="874">
        <f>Basisgegevens!T9</f>
        <v>0</v>
      </c>
      <c r="F131" s="1278">
        <f>Basisgegevens!Q9</f>
        <v>0</v>
      </c>
      <c r="G131" s="303">
        <f>Basisgegevens!U9</f>
        <v>0</v>
      </c>
      <c r="H131" s="1735"/>
      <c r="I131" s="66">
        <v>131</v>
      </c>
    </row>
    <row r="132" spans="1:9" outlineLevel="1" x14ac:dyDescent="0.25">
      <c r="A132" s="1427"/>
      <c r="B132" s="311" t="str">
        <f>Basisgegevens!N10&amp;" / "&amp;Basisgegevens!R10</f>
        <v xml:space="preserve">3: n.v.t / </v>
      </c>
      <c r="C132" s="193" t="s">
        <v>74</v>
      </c>
      <c r="D132" s="881">
        <f>Basisgegevens!M10</f>
        <v>0</v>
      </c>
      <c r="E132" s="881">
        <f>Basisgegevens!T10</f>
        <v>0</v>
      </c>
      <c r="F132" s="1233">
        <f>Basisgegevens!Q10</f>
        <v>0</v>
      </c>
      <c r="G132" s="881">
        <f>Basisgegevens!U10</f>
        <v>0</v>
      </c>
      <c r="H132" s="1735"/>
      <c r="I132" s="67">
        <v>132</v>
      </c>
    </row>
    <row r="133" spans="1:9" ht="30" customHeight="1" outlineLevel="1" thickBot="1" x14ac:dyDescent="0.3">
      <c r="A133" s="1428"/>
      <c r="B133" s="1699" t="s">
        <v>909</v>
      </c>
      <c r="C133" s="193" t="s">
        <v>74</v>
      </c>
      <c r="D133" s="881">
        <f>IF(D136&lt;=0,0,D136*(BGBelastingTariefSchijf2-BGBelastingTariefBeperking))</f>
        <v>0</v>
      </c>
      <c r="E133" s="881">
        <f>IF(E136&lt;=0,0,E136*(BGBelastingTariefSchijf2-BGBelastingTariefBeperking))</f>
        <v>0</v>
      </c>
      <c r="F133" s="881">
        <f>IF(F136&lt;=0,0,F136*(BGBelastingTariefSchijf2-BGBelastingTariefBeperking))</f>
        <v>0</v>
      </c>
      <c r="G133" s="881">
        <f>IF(G136&lt;=0,0,G136*(BGBelastingTariefSchijf2-BGBelastingTariefBeperking))</f>
        <v>0</v>
      </c>
      <c r="H133" s="1773" t="s">
        <v>908</v>
      </c>
      <c r="I133" s="66">
        <v>133</v>
      </c>
    </row>
    <row r="134" spans="1:9" ht="16.5" thickBot="1" x14ac:dyDescent="0.3">
      <c r="A134" s="1444">
        <v>95</v>
      </c>
      <c r="B134" s="188" t="s">
        <v>29</v>
      </c>
      <c r="C134" s="201"/>
      <c r="D134" s="885">
        <f>SUM(D130:D133)</f>
        <v>0</v>
      </c>
      <c r="E134" s="885">
        <f>SUM(E130:E133)</f>
        <v>0</v>
      </c>
      <c r="F134" s="1694">
        <f>SUM(F130:F133)</f>
        <v>0</v>
      </c>
      <c r="G134" s="885">
        <f>SUM(G130:G133)</f>
        <v>0</v>
      </c>
      <c r="H134" s="1753"/>
      <c r="I134" s="2357">
        <v>134</v>
      </c>
    </row>
    <row r="135" spans="1:9" x14ac:dyDescent="0.25">
      <c r="A135" s="1526"/>
      <c r="B135" s="1718" t="s">
        <v>753</v>
      </c>
      <c r="C135" s="190"/>
      <c r="D135" s="302">
        <f>SUM(D69:D74)+AL93PersGebAftrek_AP</f>
        <v>0</v>
      </c>
      <c r="E135" s="302">
        <f>SUM(D69:D74)+D113</f>
        <v>0</v>
      </c>
      <c r="F135" s="1237">
        <f>SUM(F69:F74)+AL93PersGebAftrek_AG</f>
        <v>0</v>
      </c>
      <c r="G135" s="302">
        <f>SUM(F69:F74)+F113</f>
        <v>0</v>
      </c>
      <c r="H135" s="1747" t="s">
        <v>752</v>
      </c>
      <c r="I135" s="28">
        <v>135</v>
      </c>
    </row>
    <row r="136" spans="1:9" ht="15.75" outlineLevel="1" thickBot="1" x14ac:dyDescent="0.3">
      <c r="A136" s="1881"/>
      <c r="B136" s="1882" t="str">
        <f>"Bedrag aan aftrekposten waar tariefsbeperking voor geldt bij inkomen &gt; € "&amp;Basisgegevens!N16</f>
        <v>Bedrag aan aftrekposten waar tariefsbeperking voor geldt bij inkomen &gt; € 75518</v>
      </c>
      <c r="C136" s="1691"/>
      <c r="D136" s="889">
        <f>IF(AL94VerzInkomen_AP-BGBelastingbedragSchijf3&lt;=0,0,IF(AL94VerzInkomen_AP-BGBelastingbedragSchijf3&lt;=SUM(D69:D74)+AL93PersGebAftrek_AP,AL94VerzInkomen_AP-BGBelastingbedragSchijf3,SUM(D69:D74)+AL93PersGebAftrek_AP))</f>
        <v>0</v>
      </c>
      <c r="E136" s="889">
        <f>IF(E129-BGBelastingbedragSchijf3&lt;=0,0,IF(E129-BGBelastingbedragSchijf3&lt;=SUM(D69:D74)+D116,E129-BGBelastingbedragSchijf3,SUM(D69:D74)+D116))</f>
        <v>0</v>
      </c>
      <c r="F136" s="1238">
        <f>IF(AL94VerzInkomen_AG-BGBelastingbedragSchijf3&lt;=0,0,IF(AL94VerzInkomen_AG-BGBelastingbedragSchijf3&lt;=SUM(F69:F74)+F100+AL93PersGebAftrek_AG,AL94VerzInkomen_AG-BGBelastingbedragSchijf3,SUM(F69:F74)+F100+AL93PersGebAftrek_AG))</f>
        <v>0</v>
      </c>
      <c r="G136" s="889">
        <f>IF(G129-BGBelastingbedragSchijf3&lt;=0,0,IF(G129-BGBelastingbedragSchijf3&lt;=SUM(F69:F74)+SUM(F97:F101)+F116,G129-BGBelastingbedragSchijf3,SUM(F69:F74)+SUM(F97:F101)+F116))</f>
        <v>0</v>
      </c>
      <c r="H136" s="1742" t="s">
        <v>908</v>
      </c>
      <c r="I136" s="323">
        <v>136</v>
      </c>
    </row>
    <row r="137" spans="1:9" ht="15.75" outlineLevel="1" thickBot="1" x14ac:dyDescent="0.3">
      <c r="A137" s="1819"/>
      <c r="B137" s="112"/>
      <c r="C137" s="1679"/>
      <c r="D137" s="1794"/>
      <c r="E137" s="1794"/>
      <c r="F137" s="1794"/>
      <c r="G137" s="1794"/>
      <c r="H137" s="1757"/>
      <c r="I137" s="161">
        <v>137</v>
      </c>
    </row>
    <row r="138" spans="1:9" outlineLevel="1" x14ac:dyDescent="0.25">
      <c r="A138" s="92"/>
      <c r="B138" s="1883" t="s">
        <v>756</v>
      </c>
      <c r="C138" s="193"/>
      <c r="D138" s="881">
        <f>AL85InkomstenEW_AP/12*-1</f>
        <v>0</v>
      </c>
      <c r="E138" s="1890" t="s">
        <v>260</v>
      </c>
      <c r="F138" s="1233">
        <f>AL85InkomstenEW_AG/12*-1</f>
        <v>0</v>
      </c>
      <c r="G138" s="1890" t="s">
        <v>260</v>
      </c>
      <c r="H138" s="1746" t="s">
        <v>884</v>
      </c>
      <c r="I138" s="67">
        <v>138</v>
      </c>
    </row>
    <row r="139" spans="1:9" ht="15.75" thickBot="1" x14ac:dyDescent="0.3">
      <c r="A139" s="1881"/>
      <c r="B139" s="398" t="s">
        <v>755</v>
      </c>
      <c r="C139" s="185"/>
      <c r="D139" s="889">
        <f>D138*BGBelastingTariefSchijf1</f>
        <v>0</v>
      </c>
      <c r="E139" s="1890" t="s">
        <v>260</v>
      </c>
      <c r="F139" s="1238">
        <f>F138*BGBelastingTariefSchijf1</f>
        <v>0</v>
      </c>
      <c r="G139" s="1890" t="s">
        <v>260</v>
      </c>
      <c r="H139" s="91" t="s">
        <v>885</v>
      </c>
      <c r="I139" s="323">
        <v>139</v>
      </c>
    </row>
    <row r="140" spans="1:9" ht="15.75" thickBot="1" x14ac:dyDescent="0.3">
      <c r="A140" s="1897"/>
      <c r="B140" s="1898"/>
      <c r="C140" s="1899"/>
      <c r="D140" s="1900"/>
      <c r="E140" s="1900"/>
      <c r="F140" s="1900"/>
      <c r="G140" s="1900"/>
      <c r="H140" s="1977"/>
      <c r="I140" s="2336">
        <v>140</v>
      </c>
    </row>
    <row r="141" spans="1:9" ht="30.75" thickBot="1" x14ac:dyDescent="0.3">
      <c r="A141" s="1901"/>
      <c r="B141" s="1902" t="s">
        <v>30</v>
      </c>
      <c r="C141" s="1903"/>
      <c r="D141" s="890"/>
      <c r="E141" s="890"/>
      <c r="F141" s="890"/>
      <c r="G141" s="1904"/>
      <c r="H141" s="1886" t="s">
        <v>209</v>
      </c>
      <c r="I141" s="2339">
        <v>141</v>
      </c>
    </row>
    <row r="142" spans="1:9" outlineLevel="1" x14ac:dyDescent="0.25">
      <c r="A142" s="1427">
        <v>96</v>
      </c>
      <c r="B142" s="86" t="s">
        <v>1005</v>
      </c>
      <c r="C142" s="193" t="s">
        <v>74</v>
      </c>
      <c r="D142" s="917">
        <v>0</v>
      </c>
      <c r="E142" s="898">
        <f>D142</f>
        <v>0</v>
      </c>
      <c r="F142" s="917">
        <v>0</v>
      </c>
      <c r="G142" s="881">
        <f>F142</f>
        <v>0</v>
      </c>
      <c r="H142" s="1746" t="s">
        <v>180</v>
      </c>
      <c r="I142" s="67">
        <v>142</v>
      </c>
    </row>
    <row r="143" spans="1:9" outlineLevel="1" x14ac:dyDescent="0.25">
      <c r="A143" s="1445">
        <v>97</v>
      </c>
      <c r="B143" s="554" t="s">
        <v>32</v>
      </c>
      <c r="C143" s="555"/>
      <c r="D143" s="887">
        <v>0</v>
      </c>
      <c r="E143" s="896">
        <v>0</v>
      </c>
      <c r="F143" s="887">
        <v>0</v>
      </c>
      <c r="G143" s="887">
        <v>0</v>
      </c>
      <c r="H143" s="1744" t="s">
        <v>221</v>
      </c>
      <c r="I143" s="2023">
        <v>143</v>
      </c>
    </row>
    <row r="144" spans="1:9" outlineLevel="1" x14ac:dyDescent="0.25">
      <c r="A144" s="1428">
        <v>98</v>
      </c>
      <c r="B144" s="290" t="s">
        <v>361</v>
      </c>
      <c r="C144" s="191" t="s">
        <v>74</v>
      </c>
      <c r="D144" s="303">
        <f>SUM(D142:D143)</f>
        <v>0</v>
      </c>
      <c r="E144" s="893">
        <f>D144</f>
        <v>0</v>
      </c>
      <c r="F144" s="303">
        <f>SUM(F142:F143)</f>
        <v>0</v>
      </c>
      <c r="G144" s="303">
        <f>F144</f>
        <v>0</v>
      </c>
      <c r="H144" s="1735" t="s">
        <v>180</v>
      </c>
      <c r="I144" s="66">
        <v>144</v>
      </c>
    </row>
    <row r="145" spans="1:9" ht="75.75" outlineLevel="1" thickBot="1" x14ac:dyDescent="0.3">
      <c r="A145" s="1431">
        <v>99</v>
      </c>
      <c r="B145" s="94" t="s">
        <v>1006</v>
      </c>
      <c r="C145" s="199" t="s">
        <v>69</v>
      </c>
      <c r="D145" s="916">
        <v>0</v>
      </c>
      <c r="E145" s="897">
        <f>D145</f>
        <v>0</v>
      </c>
      <c r="F145" s="916">
        <v>0</v>
      </c>
      <c r="G145" s="883">
        <f>F145</f>
        <v>0</v>
      </c>
      <c r="H145" s="1736" t="s">
        <v>1033</v>
      </c>
      <c r="I145" s="166">
        <v>145</v>
      </c>
    </row>
    <row r="146" spans="1:9" ht="16.5" thickBot="1" x14ac:dyDescent="0.3">
      <c r="A146" s="1443">
        <v>100</v>
      </c>
      <c r="B146" s="179" t="s">
        <v>220</v>
      </c>
      <c r="C146" s="202"/>
      <c r="D146" s="884">
        <f>IF(OR(D144=0,D145&gt;D144),0,D144-D145)</f>
        <v>0</v>
      </c>
      <c r="E146" s="900">
        <f>D146</f>
        <v>0</v>
      </c>
      <c r="F146" s="884">
        <f>IF(OR(F144=0,F145&gt;F144),0,F144-F145)</f>
        <v>0</v>
      </c>
      <c r="G146" s="884">
        <f>F146</f>
        <v>0</v>
      </c>
      <c r="H146" s="1754" t="s">
        <v>210</v>
      </c>
      <c r="I146" s="2358">
        <v>146</v>
      </c>
    </row>
    <row r="147" spans="1:9" ht="32.25" thickBot="1" x14ac:dyDescent="0.3">
      <c r="A147" s="1891">
        <v>101</v>
      </c>
      <c r="B147" s="1892" t="str">
        <f>"Inkomstebelasting (het o.b.v. belastbaar inkomen geldende tarief is: "&amp;BGTariefBox2*100&amp;"%) box II:"</f>
        <v>Inkomstebelasting (het o.b.v. belastbaar inkomen geldende tarief is: 24,5%) box II:</v>
      </c>
      <c r="C147" s="1893"/>
      <c r="D147" s="1894" cm="1">
        <f t="array" ref="D147">BGTariefBox2*D146</f>
        <v>0</v>
      </c>
      <c r="E147" s="1895" cm="1">
        <f t="array" ref="E147">BGTariefBox2*E146</f>
        <v>0</v>
      </c>
      <c r="F147" s="1894" cm="1">
        <f t="array" ref="F147">BGTariefBox2*F146</f>
        <v>0</v>
      </c>
      <c r="G147" s="1894" cm="1">
        <f t="array" ref="G147">BGTariefBox2*G146</f>
        <v>0</v>
      </c>
      <c r="H147" s="1896"/>
      <c r="I147" s="2359">
        <v>147</v>
      </c>
    </row>
    <row r="148" spans="1:9" ht="15.75" thickBot="1" x14ac:dyDescent="0.3">
      <c r="A148" s="1825"/>
      <c r="B148" s="1710"/>
      <c r="C148" s="1826"/>
      <c r="D148" s="1827"/>
      <c r="E148" s="1827"/>
      <c r="F148" s="1827"/>
      <c r="G148" s="1827"/>
      <c r="H148" s="1757"/>
      <c r="I148" s="1196">
        <v>148</v>
      </c>
    </row>
    <row r="149" spans="1:9" ht="75.75" thickBot="1" x14ac:dyDescent="0.3">
      <c r="A149" s="1905"/>
      <c r="B149" s="1906" t="s">
        <v>31</v>
      </c>
      <c r="C149" s="1907"/>
      <c r="D149" s="903"/>
      <c r="E149" s="903"/>
      <c r="F149" s="903"/>
      <c r="G149" s="1908"/>
      <c r="H149" s="1886" t="s">
        <v>188</v>
      </c>
      <c r="I149" s="1774">
        <v>149</v>
      </c>
    </row>
    <row r="150" spans="1:9" outlineLevel="1" x14ac:dyDescent="0.25">
      <c r="A150" s="1427">
        <v>102</v>
      </c>
      <c r="B150" s="399" t="s">
        <v>33</v>
      </c>
      <c r="C150" s="194"/>
      <c r="D150" s="879"/>
      <c r="E150" s="899"/>
      <c r="F150" s="879"/>
      <c r="G150" s="879"/>
      <c r="H150" s="1755"/>
      <c r="I150" s="67">
        <v>150</v>
      </c>
    </row>
    <row r="151" spans="1:9" outlineLevel="1" x14ac:dyDescent="0.25">
      <c r="A151" s="1428"/>
      <c r="B151" s="84" t="str">
        <f>Basisgegevens!L209&amp;") "&amp;Basisgegevens!M209</f>
        <v>a) Bank- en spaartegoeden en contant geld</v>
      </c>
      <c r="C151" s="191" t="s">
        <v>74</v>
      </c>
      <c r="D151" s="304">
        <v>0</v>
      </c>
      <c r="E151" s="893">
        <f>D151</f>
        <v>0</v>
      </c>
      <c r="F151" s="304">
        <v>0</v>
      </c>
      <c r="G151" s="303">
        <f>F151</f>
        <v>0</v>
      </c>
      <c r="H151" s="1735" t="s">
        <v>180</v>
      </c>
      <c r="I151" s="66">
        <v>151</v>
      </c>
    </row>
    <row r="152" spans="1:9" outlineLevel="1" x14ac:dyDescent="0.25">
      <c r="A152" s="1428"/>
      <c r="B152" s="84" t="str">
        <f>Basisgegevens!L210&amp;") "&amp;Basisgegevens!M210</f>
        <v>b) Beleggingen/andere bezittingen incl. OEW</v>
      </c>
      <c r="C152" s="191" t="s">
        <v>74</v>
      </c>
      <c r="D152" s="304">
        <v>0</v>
      </c>
      <c r="E152" s="893">
        <f>D152</f>
        <v>0</v>
      </c>
      <c r="F152" s="304">
        <v>0</v>
      </c>
      <c r="G152" s="303">
        <f>F152</f>
        <v>0</v>
      </c>
      <c r="H152" s="1735" t="s">
        <v>180</v>
      </c>
      <c r="I152" s="66">
        <v>152</v>
      </c>
    </row>
    <row r="153" spans="1:9" ht="18" customHeight="1" outlineLevel="1" x14ac:dyDescent="0.25">
      <c r="A153" s="1431"/>
      <c r="B153" s="94" t="str">
        <f>Basisgegevens!L211&amp;") "&amp;Basisgegevens!M211</f>
        <v>c) Schulden</v>
      </c>
      <c r="C153" s="199" t="s">
        <v>69</v>
      </c>
      <c r="D153" s="916">
        <v>0</v>
      </c>
      <c r="E153" s="897">
        <f>D153</f>
        <v>0</v>
      </c>
      <c r="F153" s="916">
        <v>0</v>
      </c>
      <c r="G153" s="883">
        <f>F153</f>
        <v>0</v>
      </c>
      <c r="H153" s="1736" t="s">
        <v>180</v>
      </c>
      <c r="I153" s="166">
        <v>153</v>
      </c>
    </row>
    <row r="154" spans="1:9" ht="18" customHeight="1" outlineLevel="1" thickBot="1" x14ac:dyDescent="0.3">
      <c r="A154" s="1311"/>
      <c r="B154" s="2281"/>
      <c r="C154" s="1691"/>
      <c r="D154" s="2282"/>
      <c r="E154" s="901"/>
      <c r="F154" s="2282"/>
      <c r="G154" s="889"/>
      <c r="I154" s="323">
        <v>154</v>
      </c>
    </row>
    <row r="155" spans="1:9" ht="15.75" thickBot="1" x14ac:dyDescent="0.3">
      <c r="A155" s="1443">
        <v>103</v>
      </c>
      <c r="B155" s="187" t="s">
        <v>295</v>
      </c>
      <c r="C155" s="204"/>
      <c r="D155" s="884">
        <f>SUM(D151:D152)-D153</f>
        <v>0</v>
      </c>
      <c r="E155" s="900">
        <f>SUM(E151:E152)-E153</f>
        <v>0</v>
      </c>
      <c r="F155" s="884">
        <f>SUM(F151:F152)-F153</f>
        <v>0</v>
      </c>
      <c r="G155" s="884">
        <f>SUM(G151:G152)-G153</f>
        <v>0</v>
      </c>
      <c r="H155" s="1754" t="s">
        <v>1082</v>
      </c>
      <c r="I155" s="2358">
        <v>155</v>
      </c>
    </row>
    <row r="156" spans="1:9" outlineLevel="1" x14ac:dyDescent="0.25">
      <c r="A156" s="1428">
        <v>104</v>
      </c>
      <c r="B156" s="88" t="s">
        <v>135</v>
      </c>
      <c r="C156" s="200"/>
      <c r="D156" s="882"/>
      <c r="E156" s="894"/>
      <c r="F156" s="882"/>
      <c r="G156" s="882"/>
      <c r="H156" s="1735"/>
      <c r="I156" s="66">
        <v>156</v>
      </c>
    </row>
    <row r="157" spans="1:9" ht="15.75" outlineLevel="1" thickBot="1" x14ac:dyDescent="0.3">
      <c r="A157" s="1431"/>
      <c r="B157" s="87" t="str">
        <f>"Sparen en Beleggen: Waarde per 1 januari "&amp;BGJaarBerekening&amp;" van:"</f>
        <v>Sparen en Beleggen: Waarde per 1 januari 2024 van:</v>
      </c>
      <c r="C157" s="151"/>
      <c r="D157" s="908"/>
      <c r="E157" s="1260"/>
      <c r="F157" s="908"/>
      <c r="G157" s="908"/>
      <c r="H157" s="1736" t="s">
        <v>977</v>
      </c>
      <c r="I157" s="166">
        <v>157</v>
      </c>
    </row>
    <row r="158" spans="1:9" ht="15.75" outlineLevel="1" thickBot="1" x14ac:dyDescent="0.3">
      <c r="A158" s="1181"/>
      <c r="B158" s="1682" t="str">
        <f>Basisgegevens!L209&amp;") "&amp;Basisgegevens!M209</f>
        <v>a) Bank- en spaartegoeden en contant geld</v>
      </c>
      <c r="C158" s="1683" t="s">
        <v>74</v>
      </c>
      <c r="D158" s="1684">
        <v>0</v>
      </c>
      <c r="E158" s="1685">
        <f>D158</f>
        <v>0</v>
      </c>
      <c r="F158" s="1684">
        <v>0</v>
      </c>
      <c r="G158" s="1686">
        <f>F158</f>
        <v>0</v>
      </c>
      <c r="H158" s="1747" t="s">
        <v>180</v>
      </c>
      <c r="I158" s="1196">
        <v>158</v>
      </c>
    </row>
    <row r="159" spans="1:9" outlineLevel="1" x14ac:dyDescent="0.25">
      <c r="A159" s="1526"/>
      <c r="B159" s="1700" t="str">
        <f>Basisgegevens!L210&amp;") "&amp;Basisgegevens!M210</f>
        <v>b) Beleggingen/andere bezittingen incl. OEW</v>
      </c>
      <c r="C159" s="190" t="s">
        <v>74</v>
      </c>
      <c r="D159" s="35">
        <v>0</v>
      </c>
      <c r="E159" s="891">
        <f>D159</f>
        <v>0</v>
      </c>
      <c r="F159" s="35">
        <v>0</v>
      </c>
      <c r="G159" s="302">
        <f>F159</f>
        <v>0</v>
      </c>
      <c r="H159" s="1687" t="s">
        <v>180</v>
      </c>
      <c r="I159" s="28">
        <v>159</v>
      </c>
    </row>
    <row r="160" spans="1:9" outlineLevel="1" x14ac:dyDescent="0.25">
      <c r="A160" s="150">
        <f>Basisgegevens!L185</f>
        <v>104</v>
      </c>
      <c r="B160" s="94" t="str">
        <f>"      OEW: "&amp;Basisgegevens!M185</f>
        <v xml:space="preserve">      OEW: Eigen Woning Forfait aandeel in  box 3</v>
      </c>
      <c r="C160" s="191" t="s">
        <v>74</v>
      </c>
      <c r="D160" s="303">
        <f>IF(BGOEWRekenModule="Nee",0,BGOEW104EWFBox3_AP)</f>
        <v>0</v>
      </c>
      <c r="E160" s="1291"/>
      <c r="F160" s="303">
        <f>IF(BGOEWRekenModule="Nee",0,BGOEW104EWFBox3_AG)</f>
        <v>0</v>
      </c>
      <c r="G160" s="1292"/>
      <c r="H160" s="1735"/>
      <c r="I160" s="166">
        <v>160</v>
      </c>
    </row>
    <row r="161" spans="1:9" ht="15.75" outlineLevel="1" thickBot="1" x14ac:dyDescent="0.3">
      <c r="A161" s="82"/>
      <c r="B161" s="85" t="s">
        <v>878</v>
      </c>
      <c r="C161" s="192" t="s">
        <v>74</v>
      </c>
      <c r="D161" s="305">
        <f>IF(OR(BGOEWRekenModule="Nee",D164=0),0,Basisgegevens!C172/2)</f>
        <v>0</v>
      </c>
      <c r="E161" s="1505"/>
      <c r="F161" s="305">
        <f>IF(OR(BGOEWRekenModule="Nee",F164=0),0,Basisgegevens!C172/2)</f>
        <v>0</v>
      </c>
      <c r="G161" s="1506"/>
      <c r="H161" s="1688"/>
      <c r="I161" s="30">
        <v>161</v>
      </c>
    </row>
    <row r="162" spans="1:9" ht="15.75" outlineLevel="1" thickBot="1" x14ac:dyDescent="0.3">
      <c r="A162" s="1881"/>
      <c r="B162" s="2283"/>
      <c r="C162" s="1844"/>
      <c r="D162" s="901"/>
      <c r="E162" s="2284"/>
      <c r="F162" s="901"/>
      <c r="G162" s="2285"/>
      <c r="I162" s="323">
        <v>162</v>
      </c>
    </row>
    <row r="163" spans="1:9" ht="15.75" outlineLevel="1" thickBot="1" x14ac:dyDescent="0.3">
      <c r="A163" s="1526"/>
      <c r="B163" s="1678" t="str">
        <f>Basisgegevens!L211&amp;") "&amp;Basisgegevens!M211</f>
        <v>c) Schulden</v>
      </c>
      <c r="C163" s="1679" t="s">
        <v>69</v>
      </c>
      <c r="D163" s="1680">
        <v>0</v>
      </c>
      <c r="E163" s="302">
        <f>D163</f>
        <v>0</v>
      </c>
      <c r="F163" s="1245">
        <v>0</v>
      </c>
      <c r="G163" s="302">
        <f>F163</f>
        <v>0</v>
      </c>
      <c r="H163" s="1687" t="s">
        <v>180</v>
      </c>
      <c r="I163" s="28">
        <v>163</v>
      </c>
    </row>
    <row r="164" spans="1:9" ht="15.75" outlineLevel="1" thickBot="1" x14ac:dyDescent="0.3">
      <c r="A164" s="82">
        <f>Basisgegevens!L193</f>
        <v>104</v>
      </c>
      <c r="B164" s="1701" t="str">
        <f>"      OEW: "&amp;Basisgegevens!M193</f>
        <v xml:space="preserve">      OEW: Aandeel in schuld van de Onverdeeld Eigen Woning in box 3 </v>
      </c>
      <c r="C164" s="1677" t="s">
        <v>69</v>
      </c>
      <c r="D164" s="1681">
        <f>IF(BGOEWRekenModule="Nee",0,BGOEW104SchuldBox3_AP)</f>
        <v>0</v>
      </c>
      <c r="E164" s="1506"/>
      <c r="F164" s="997">
        <f>IF(BGOEWRekenModule="Nee",0,BGOEW104SchuldBox3_AG)</f>
        <v>0</v>
      </c>
      <c r="G164" s="1506"/>
      <c r="H164" s="1688"/>
      <c r="I164" s="30">
        <v>164</v>
      </c>
    </row>
    <row r="165" spans="1:9" outlineLevel="1" x14ac:dyDescent="0.25">
      <c r="A165" s="1427"/>
      <c r="B165" s="1689" t="s">
        <v>812</v>
      </c>
      <c r="C165" s="193" t="s">
        <v>69</v>
      </c>
      <c r="D165" s="881">
        <f>BGDrempelRendement</f>
        <v>3700</v>
      </c>
      <c r="E165" s="881">
        <f>BGDrempelRendement</f>
        <v>3700</v>
      </c>
      <c r="F165" s="881">
        <f>BGDrempelRendement</f>
        <v>3700</v>
      </c>
      <c r="G165" s="881">
        <f>BGDrempelRendement</f>
        <v>3700</v>
      </c>
      <c r="H165" s="1746"/>
      <c r="I165" s="67">
        <v>165</v>
      </c>
    </row>
    <row r="166" spans="1:9" outlineLevel="1" x14ac:dyDescent="0.25">
      <c r="A166" s="1428"/>
      <c r="B166" s="1504" t="s">
        <v>811</v>
      </c>
      <c r="C166" s="191" t="s">
        <v>69</v>
      </c>
      <c r="D166" s="303">
        <f>IF(BGDrempelRendement&gt;D163+D164,0,D163+D164-BGDrempelRendement)</f>
        <v>0</v>
      </c>
      <c r="E166" s="303">
        <f>IF(BGDrempelRendement&gt;E163+E164,0,E163+E164-BGDrempelRendement)</f>
        <v>0</v>
      </c>
      <c r="F166" s="303">
        <f>IF(BGDrempelRendement&gt;F163+F164,0,F163+F164-BGDrempelRendement)</f>
        <v>0</v>
      </c>
      <c r="G166" s="303">
        <f>IF(BGDrempelRendement&gt;G163+G164,0,G163+G164-BGDrempelRendement)</f>
        <v>0</v>
      </c>
      <c r="H166" s="1735"/>
      <c r="I166" s="66">
        <v>166</v>
      </c>
    </row>
    <row r="167" spans="1:9" outlineLevel="1" x14ac:dyDescent="0.25">
      <c r="A167" s="1428"/>
      <c r="B167" s="2496" t="s">
        <v>1109</v>
      </c>
      <c r="C167" s="2493"/>
      <c r="D167" s="2494"/>
      <c r="E167" s="2495"/>
      <c r="F167" s="2494"/>
      <c r="G167" s="2494"/>
      <c r="H167" s="1756"/>
      <c r="I167" s="66">
        <v>167</v>
      </c>
    </row>
    <row r="168" spans="1:9" outlineLevel="1" x14ac:dyDescent="0.25">
      <c r="A168" s="1447">
        <v>105</v>
      </c>
      <c r="B168" s="84" t="s">
        <v>135</v>
      </c>
      <c r="C168" s="366"/>
      <c r="D168" s="888">
        <f>SUM(D158:D161)-D166</f>
        <v>0</v>
      </c>
      <c r="E168" s="888">
        <f>SUM(E158:E161)-E166</f>
        <v>0</v>
      </c>
      <c r="F168" s="888">
        <f>SUM(F158:F161)-F166</f>
        <v>0</v>
      </c>
      <c r="G168" s="888">
        <f>SUM(G158:G161)-G166</f>
        <v>0</v>
      </c>
      <c r="H168" s="1735"/>
      <c r="I168" s="2360">
        <v>168</v>
      </c>
    </row>
    <row r="169" spans="1:9" ht="30" outlineLevel="1" x14ac:dyDescent="0.25">
      <c r="A169" s="1428">
        <v>106</v>
      </c>
      <c r="B169" s="84" t="str">
        <f>"Heffingsvrij vermogen (alleenstaande) a € "&amp;BGHeffingsvrijVermogen</f>
        <v>Heffingsvrij vermogen (alleenstaande) a € 57000</v>
      </c>
      <c r="C169" s="191" t="s">
        <v>69</v>
      </c>
      <c r="D169" s="303">
        <f>IF(OR(D168&gt;BGHeffingsvrijVermogen,D168&lt;0),BGHeffingsvrijVermogen,D168)</f>
        <v>0</v>
      </c>
      <c r="E169" s="303">
        <f>IF(OR(E168&gt;BGHeffingsvrijVermogen,E168&lt;0),BGHeffingsvrijVermogen,E168)</f>
        <v>0</v>
      </c>
      <c r="F169" s="303">
        <f>IF(OR(F168&gt;BGHeffingsvrijVermogen,F168&lt;0),BGHeffingsvrijVermogen,F168)</f>
        <v>0</v>
      </c>
      <c r="G169" s="303">
        <f>IF(OR(G168&gt;BGHeffingsvrijVermogen,G168&lt;0),BGHeffingsvrijVermogen,G168)</f>
        <v>0</v>
      </c>
      <c r="H169" s="1735" t="s">
        <v>187</v>
      </c>
      <c r="I169" s="66">
        <v>169</v>
      </c>
    </row>
    <row r="170" spans="1:9" ht="45.75" outlineLevel="1" thickBot="1" x14ac:dyDescent="0.3">
      <c r="A170" s="1431">
        <v>107</v>
      </c>
      <c r="B170" s="94" t="s">
        <v>181</v>
      </c>
      <c r="C170" s="199" t="s">
        <v>69</v>
      </c>
      <c r="D170" s="916">
        <v>0</v>
      </c>
      <c r="E170" s="897">
        <f>D170</f>
        <v>0</v>
      </c>
      <c r="F170" s="916">
        <v>0</v>
      </c>
      <c r="G170" s="883">
        <f>F170</f>
        <v>0</v>
      </c>
      <c r="H170" s="1736" t="s">
        <v>213</v>
      </c>
      <c r="I170" s="166">
        <v>170</v>
      </c>
    </row>
    <row r="171" spans="1:9" ht="15.75" thickBot="1" x14ac:dyDescent="0.3">
      <c r="A171" s="1443">
        <v>108</v>
      </c>
      <c r="B171" s="187" t="s">
        <v>1110</v>
      </c>
      <c r="C171" s="202"/>
      <c r="D171" s="884">
        <f>IF(D168&lt;0,D168-D170,D168-SUM(D169:D170))</f>
        <v>0</v>
      </c>
      <c r="E171" s="884">
        <f>E168-SUM(E169:E170)</f>
        <v>0</v>
      </c>
      <c r="F171" s="884">
        <f>IF(F168&lt;0,F168-F170,F168-SUM(F169:F170))</f>
        <v>0</v>
      </c>
      <c r="G171" s="884">
        <f>G168-SUM(G169:G170)</f>
        <v>0</v>
      </c>
      <c r="H171" s="1754" t="s">
        <v>182</v>
      </c>
      <c r="I171" s="2358">
        <v>171</v>
      </c>
    </row>
    <row r="172" spans="1:9" ht="30.75" thickBot="1" x14ac:dyDescent="0.3">
      <c r="A172" s="1507"/>
      <c r="B172" s="1650" t="str">
        <f>"Voordeel uit sparen en beleggen (= Belastbaar Rendement):"</f>
        <v>Voordeel uit sparen en beleggen (= Belastbaar Rendement):</v>
      </c>
      <c r="C172" s="441"/>
      <c r="D172" s="456">
        <f>Basisgegevens!Q212</f>
        <v>0</v>
      </c>
      <c r="E172" s="2202">
        <f>Basisgegevens!V212</f>
        <v>0</v>
      </c>
      <c r="F172" s="2288">
        <f>Basisgegevens!R212</f>
        <v>0</v>
      </c>
      <c r="G172" s="456">
        <f>Basisgegevens!W212</f>
        <v>0</v>
      </c>
      <c r="H172" s="2280" t="s">
        <v>1083</v>
      </c>
      <c r="I172" s="161">
        <v>172</v>
      </c>
    </row>
    <row r="173" spans="1:9" outlineLevel="1" x14ac:dyDescent="0.25">
      <c r="A173" s="1427">
        <v>109</v>
      </c>
      <c r="B173" s="86" t="str">
        <f>CONCATENATE("Forfairtair rendement (a=",Basisgegevens!S209*100,"% / b=",Basisgegevens!S210*100,"% / c=",Basisgegevens!S211*100,"%)")</f>
        <v>Forfairtair rendement (a=1,03% / b=6,04% / c=2,47%)</v>
      </c>
      <c r="C173" s="193" t="s">
        <v>74</v>
      </c>
      <c r="D173" s="881">
        <f>IF(AL108GrondslagSenB_AP&lt;=0,0,Basisgegevens!Q212*(AL108GrondslagSenB_AP/D168))</f>
        <v>0</v>
      </c>
      <c r="E173" s="898">
        <f>IF(E171&lt;=0,0,Basisgegevens!V212*(E171/E168))</f>
        <v>0</v>
      </c>
      <c r="F173" s="2226">
        <f>IF(AL108GrondslagSenB_AG&lt;=0,0,Basisgegevens!R212*(AL108GrondslagSenB_AG/F168))</f>
        <v>0</v>
      </c>
      <c r="G173" s="881">
        <f>IF(G171&lt;=0,0,Basisgegevens!W212*(G171/G168))</f>
        <v>0</v>
      </c>
      <c r="H173" s="1746"/>
      <c r="I173" s="67">
        <v>173</v>
      </c>
    </row>
    <row r="174" spans="1:9" ht="75.75" outlineLevel="1" thickBot="1" x14ac:dyDescent="0.3">
      <c r="A174" s="1431">
        <v>110</v>
      </c>
      <c r="B174" s="94" t="s">
        <v>34</v>
      </c>
      <c r="C174" s="199" t="s">
        <v>69</v>
      </c>
      <c r="D174" s="916">
        <v>0</v>
      </c>
      <c r="E174" s="897">
        <f>D174</f>
        <v>0</v>
      </c>
      <c r="F174" s="2286">
        <v>0</v>
      </c>
      <c r="G174" s="303">
        <f>F174</f>
        <v>0</v>
      </c>
      <c r="H174" s="1736" t="s">
        <v>1034</v>
      </c>
      <c r="I174" s="166">
        <v>174</v>
      </c>
    </row>
    <row r="175" spans="1:9" ht="18" thickBot="1" x14ac:dyDescent="0.3">
      <c r="A175" s="1430">
        <v>111</v>
      </c>
      <c r="B175" s="178" t="s">
        <v>219</v>
      </c>
      <c r="C175" s="186"/>
      <c r="D175" s="1229">
        <f>D173-D174</f>
        <v>0</v>
      </c>
      <c r="E175" s="1230">
        <f>E173-E174</f>
        <v>0</v>
      </c>
      <c r="F175" s="2289">
        <f>IF(OR(F173=0,F174&gt;F173),0,F173-F174)</f>
        <v>0</v>
      </c>
      <c r="G175" s="2287">
        <v>0</v>
      </c>
      <c r="H175" s="1754" t="s">
        <v>218</v>
      </c>
      <c r="I175" s="584">
        <v>175</v>
      </c>
    </row>
    <row r="176" spans="1:9" ht="16.5" thickBot="1" x14ac:dyDescent="0.3">
      <c r="A176" s="1909">
        <v>112</v>
      </c>
      <c r="B176" s="1910" t="str">
        <f>"Inkomstebelasting (vast tarief "&amp;BGTariefBox3*100&amp;"%) box III:"</f>
        <v>Inkomstebelasting (vast tarief 36%) box III:</v>
      </c>
      <c r="C176" s="1911"/>
      <c r="D176" s="1912">
        <f>BGTariefBox3*D175</f>
        <v>0</v>
      </c>
      <c r="E176" s="1913">
        <f>BGTariefBox3*E175</f>
        <v>0</v>
      </c>
      <c r="F176" s="1912">
        <f>BGTariefBox3*F175</f>
        <v>0</v>
      </c>
      <c r="G176" s="1912">
        <f>BGTariefBox3*G175</f>
        <v>0</v>
      </c>
      <c r="H176" s="1914"/>
      <c r="I176" s="2361">
        <v>176</v>
      </c>
    </row>
    <row r="177" spans="1:9" ht="15.75" thickBot="1" x14ac:dyDescent="0.3">
      <c r="A177" s="1887"/>
      <c r="B177" s="1916"/>
      <c r="C177" s="1888"/>
      <c r="D177" s="1889"/>
      <c r="E177" s="1889"/>
      <c r="F177" s="1889"/>
      <c r="G177" s="1889"/>
      <c r="H177" s="1977"/>
      <c r="I177" s="2243">
        <v>177</v>
      </c>
    </row>
    <row r="178" spans="1:9" ht="21.75" thickBot="1" x14ac:dyDescent="0.3">
      <c r="A178" s="1815"/>
      <c r="B178" s="1885" t="s">
        <v>296</v>
      </c>
      <c r="C178" s="1816"/>
      <c r="D178" s="1817"/>
      <c r="E178" s="1818"/>
      <c r="F178" s="1817"/>
      <c r="G178" s="1817"/>
      <c r="H178" s="1915"/>
      <c r="I178" s="2362">
        <v>178</v>
      </c>
    </row>
    <row r="179" spans="1:9" outlineLevel="1" x14ac:dyDescent="0.25">
      <c r="A179" s="1426">
        <v>113</v>
      </c>
      <c r="B179" s="1166" t="s">
        <v>1111</v>
      </c>
      <c r="C179" s="1334" t="s">
        <v>74</v>
      </c>
      <c r="D179" s="1278">
        <f>AL59Arbeidsinkomen_AP+AL60Arbeidsinkomen_AP+D61+D78+AL81PeriodiekeUitk_AP+D144+AL103WerkVemInk_AP</f>
        <v>0</v>
      </c>
      <c r="E179" s="893">
        <f>AL59Arbeidsinkomen_AP+AL60Arbeidsinkomen_AP+D61+D78+E86+D144+AL103WerkVemInk_AP</f>
        <v>0</v>
      </c>
      <c r="F179" s="1278">
        <f>AL59Arbeidsinkomen_AG+AL60Arbeidsinkomen_AG+F61+F78+AL81PeriodiekeUitk_AG+F144+AL103WerkVemInk_AG</f>
        <v>0</v>
      </c>
      <c r="G179" s="893">
        <f>AL59Arbeidsinkomen_AG+AL60Arbeidsinkomen_AG+F61+F78+G86+F144+AL103WerkVemInk_AG</f>
        <v>0</v>
      </c>
      <c r="H179" s="1756"/>
      <c r="I179" s="28">
        <v>179</v>
      </c>
    </row>
    <row r="180" spans="1:9" outlineLevel="1" x14ac:dyDescent="0.25">
      <c r="A180" s="1428" t="s">
        <v>751</v>
      </c>
      <c r="B180" s="100" t="s">
        <v>763</v>
      </c>
      <c r="C180" s="1296" t="s">
        <v>74</v>
      </c>
      <c r="D180" s="1278">
        <f>D100</f>
        <v>0</v>
      </c>
      <c r="E180" s="892">
        <f>E100</f>
        <v>0</v>
      </c>
      <c r="F180" s="303">
        <f>F100</f>
        <v>0</v>
      </c>
      <c r="G180" s="303">
        <f>G100</f>
        <v>0</v>
      </c>
      <c r="H180" s="1756"/>
      <c r="I180" s="66">
        <v>180</v>
      </c>
    </row>
    <row r="181" spans="1:9" ht="15.75" outlineLevel="1" thickBot="1" x14ac:dyDescent="0.3">
      <c r="A181" s="1433">
        <v>113</v>
      </c>
      <c r="B181" s="314" t="s">
        <v>573</v>
      </c>
      <c r="C181" s="1297" t="s">
        <v>74</v>
      </c>
      <c r="D181" s="1238">
        <f>D179-D180</f>
        <v>0</v>
      </c>
      <c r="E181" s="901">
        <f>E179</f>
        <v>0</v>
      </c>
      <c r="F181" s="889">
        <f>F179-F180</f>
        <v>0</v>
      </c>
      <c r="G181" s="889">
        <f>G179</f>
        <v>0</v>
      </c>
      <c r="H181" s="1758" t="s">
        <v>1112</v>
      </c>
      <c r="I181" s="349">
        <v>181</v>
      </c>
    </row>
    <row r="182" spans="1:9" ht="15.75" thickBot="1" x14ac:dyDescent="0.3">
      <c r="A182" s="1891">
        <v>114</v>
      </c>
      <c r="B182" s="2044" t="s">
        <v>216</v>
      </c>
      <c r="C182" s="2045" t="s">
        <v>69</v>
      </c>
      <c r="D182" s="1894">
        <f>D134+D147+D176</f>
        <v>0</v>
      </c>
      <c r="E182" s="1894">
        <f>E134+E147+E176</f>
        <v>0</v>
      </c>
      <c r="F182" s="1894">
        <f>F134+F147+F176</f>
        <v>0</v>
      </c>
      <c r="G182" s="1894">
        <f>G134+F147+F176</f>
        <v>0</v>
      </c>
      <c r="H182" s="2046" t="s">
        <v>217</v>
      </c>
      <c r="I182" s="2359">
        <v>182</v>
      </c>
    </row>
    <row r="183" spans="1:9" ht="15.75" outlineLevel="1" thickBot="1" x14ac:dyDescent="0.3">
      <c r="A183" s="1825">
        <v>115</v>
      </c>
      <c r="B183" s="2047" t="s">
        <v>35</v>
      </c>
      <c r="C183" s="1826"/>
      <c r="D183" s="1827"/>
      <c r="E183" s="1827"/>
      <c r="F183" s="1827"/>
      <c r="G183" s="1827"/>
      <c r="H183" s="1747"/>
      <c r="I183" s="1196">
        <v>183</v>
      </c>
    </row>
    <row r="184" spans="1:9" outlineLevel="1" x14ac:dyDescent="0.25">
      <c r="A184" s="1526"/>
      <c r="B184" s="1294" t="str">
        <f>"- Algemene heffingskorting over € "&amp;ROUND(Basisgegevens!Q96,0)&amp;" (AP) / € "&amp;ROUND(Basisgegevens!R96,0)&amp;" (AG)"</f>
        <v>- Algemene heffingskorting over € 0 (AP) / € 0 (AG)</v>
      </c>
      <c r="C184" s="190" t="s">
        <v>74</v>
      </c>
      <c r="D184" s="302">
        <f>IF(BGAOWLeeftijdBereikt_AP="Nee",Basisgegevens!Q101,Basisgegevens!Q110)</f>
        <v>0</v>
      </c>
      <c r="E184" s="2052">
        <f>IF(BGAOWLeeftijdBereikt_AP="Nee",Basisgegevens!W101,Basisgegevens!W110)</f>
        <v>0</v>
      </c>
      <c r="F184" s="302">
        <f>IF(BGAOWLeeftijdBereikt_AG="Nee",Basisgegevens!R101,Basisgegevens!R110)</f>
        <v>0</v>
      </c>
      <c r="G184" s="302">
        <f>IF(BGAOWLeeftijdBereikt_AG="Nee",Basisgegevens!X101,Basisgegevens!X110)</f>
        <v>0</v>
      </c>
      <c r="H184" s="1782"/>
      <c r="I184" s="28">
        <v>184</v>
      </c>
    </row>
    <row r="185" spans="1:9" outlineLevel="1" x14ac:dyDescent="0.25">
      <c r="A185" s="81"/>
      <c r="B185" s="100" t="str">
        <f>"- Arbeidskorting over € "&amp;ROUND(Basisgegevens!Q114,0)&amp;" (AP) / € "&amp;ROUND(Basisgegevens!R114,0)&amp;" (AG)"</f>
        <v>- Arbeidskorting over € 0 (AP) / € 0 (AG)</v>
      </c>
      <c r="C185" s="191" t="s">
        <v>74</v>
      </c>
      <c r="D185" s="303">
        <f>IF(BGAOWLeeftijdBereikt_AP="Nee",Basisgegevens!Q121,Basisgegevens!Q130)</f>
        <v>0</v>
      </c>
      <c r="E185" s="892">
        <f>D185</f>
        <v>0</v>
      </c>
      <c r="F185" s="303">
        <f>IF(BGAOWLeeftijdBereikt_AG="Nee",Basisgegevens!R121,Basisgegevens!R130)</f>
        <v>0</v>
      </c>
      <c r="G185" s="874">
        <f>F185</f>
        <v>0</v>
      </c>
      <c r="H185" s="1756"/>
      <c r="I185" s="66">
        <v>185</v>
      </c>
    </row>
    <row r="186" spans="1:9" outlineLevel="1" x14ac:dyDescent="0.25">
      <c r="A186" s="81"/>
      <c r="B186" s="100" t="s">
        <v>938</v>
      </c>
      <c r="C186" s="191" t="s">
        <v>74</v>
      </c>
      <c r="D186" s="303" t="str">
        <f>IF(OR(Basisgegevens!Q84="n.v.t",Basisgegevens!Q84="zie AOW-tabel"),Basisgegevens!Q92,Basisgegevens!Q84)</f>
        <v>n.v.t</v>
      </c>
      <c r="E186" s="892" t="str">
        <f>D186</f>
        <v>n.v.t</v>
      </c>
      <c r="F186" s="303">
        <f>IF(OR(Basisgegevens!R84="n.v.t",Basisgegevens!R84="zie AOW-tabel"),Basisgegevens!R92,Basisgegevens!R84)</f>
        <v>0</v>
      </c>
      <c r="G186" s="874">
        <f>F186</f>
        <v>0</v>
      </c>
      <c r="H186" s="1756"/>
      <c r="I186" s="66">
        <v>186</v>
      </c>
    </row>
    <row r="187" spans="1:9" outlineLevel="1" x14ac:dyDescent="0.25">
      <c r="A187" s="81"/>
      <c r="B187" s="100" t="s">
        <v>939</v>
      </c>
      <c r="C187" s="191" t="s">
        <v>74</v>
      </c>
      <c r="D187" s="303" t="str">
        <f>Basisgegevens!Q138</f>
        <v>n.v.t</v>
      </c>
      <c r="E187" s="892" t="str">
        <f>D187</f>
        <v>n.v.t</v>
      </c>
      <c r="F187" s="303" t="str">
        <f>Basisgegevens!R138</f>
        <v>n.v.t</v>
      </c>
      <c r="G187" s="874" t="str">
        <f>F187</f>
        <v>n.v.t</v>
      </c>
      <c r="H187" s="1756"/>
      <c r="I187" s="66">
        <v>187</v>
      </c>
    </row>
    <row r="188" spans="1:9" outlineLevel="1" x14ac:dyDescent="0.25">
      <c r="A188" s="81"/>
      <c r="B188" s="100" t="s">
        <v>940</v>
      </c>
      <c r="C188" s="191" t="s">
        <v>74</v>
      </c>
      <c r="D188" s="303" t="str">
        <f>Basisgegevens!Q56</f>
        <v>n.v.t</v>
      </c>
      <c r="E188" s="892" t="str">
        <f>D188</f>
        <v>n.v.t</v>
      </c>
      <c r="F188" s="303" t="str">
        <f>Basisgegevens!R56</f>
        <v>n.v.t</v>
      </c>
      <c r="G188" s="874" t="str">
        <f>F188</f>
        <v>n.v.t</v>
      </c>
      <c r="H188" s="1756"/>
      <c r="I188" s="66">
        <v>188</v>
      </c>
    </row>
    <row r="189" spans="1:9" ht="30" customHeight="1" outlineLevel="1" thickBot="1" x14ac:dyDescent="0.3">
      <c r="A189" s="82"/>
      <c r="B189" s="996" t="s">
        <v>941</v>
      </c>
      <c r="C189" s="192" t="s">
        <v>74</v>
      </c>
      <c r="D189" s="912">
        <v>0</v>
      </c>
      <c r="E189" s="997">
        <f>D189</f>
        <v>0</v>
      </c>
      <c r="F189" s="912">
        <v>0</v>
      </c>
      <c r="G189" s="305">
        <f>F189</f>
        <v>0</v>
      </c>
      <c r="H189" s="1766" t="s">
        <v>659</v>
      </c>
      <c r="I189" s="30">
        <v>189</v>
      </c>
    </row>
    <row r="190" spans="1:9" ht="18" outlineLevel="1" thickBot="1" x14ac:dyDescent="0.3">
      <c r="A190" s="1311">
        <v>116</v>
      </c>
      <c r="B190" s="2048" t="s">
        <v>302</v>
      </c>
      <c r="C190" s="1691" t="s">
        <v>74</v>
      </c>
      <c r="D190" s="2049">
        <f>SUM(D184:D189)</f>
        <v>0</v>
      </c>
      <c r="E190" s="2050">
        <f>SUM(E184:E189)</f>
        <v>0</v>
      </c>
      <c r="F190" s="2049">
        <f>SUM(F184:F189)</f>
        <v>0</v>
      </c>
      <c r="G190" s="2049">
        <f>SUM(G184:G189)</f>
        <v>0</v>
      </c>
      <c r="H190" s="2051" t="s">
        <v>224</v>
      </c>
      <c r="I190" s="323">
        <v>190</v>
      </c>
    </row>
    <row r="191" spans="1:9" ht="15.75" thickBot="1" x14ac:dyDescent="0.3">
      <c r="A191" s="1446">
        <v>117</v>
      </c>
      <c r="B191" s="313" t="s">
        <v>386</v>
      </c>
      <c r="C191" s="206" t="s">
        <v>69</v>
      </c>
      <c r="D191" s="415">
        <f>IF(OR(D182&lt;=0,D182-D190&lt;0.01),0,D182-D190)</f>
        <v>0</v>
      </c>
      <c r="E191" s="902">
        <f>IF(OR(E182&lt;=0,E182-E190&lt;0.01),0,E182-E190)</f>
        <v>0</v>
      </c>
      <c r="F191" s="415">
        <f>IF(OR(F182&lt;=0,F182-F190&lt;0.01),0,F182-F190)</f>
        <v>0</v>
      </c>
      <c r="G191" s="415">
        <f>IF(OR(G182&lt;=0,G182-G190&lt;0.01),0,G182-G190)</f>
        <v>0</v>
      </c>
      <c r="H191" s="1759" t="s">
        <v>225</v>
      </c>
      <c r="I191" s="582">
        <v>191</v>
      </c>
    </row>
    <row r="192" spans="1:9" ht="16.5" thickBot="1" x14ac:dyDescent="0.3">
      <c r="A192" s="1448"/>
      <c r="B192" s="1304" t="s">
        <v>298</v>
      </c>
      <c r="C192" s="674"/>
      <c r="D192" s="880">
        <f>D181-D191</f>
        <v>0</v>
      </c>
      <c r="E192" s="880">
        <f>E181-E191</f>
        <v>0</v>
      </c>
      <c r="F192" s="880">
        <f>F181-F191</f>
        <v>0</v>
      </c>
      <c r="G192" s="880">
        <f>G181-G191</f>
        <v>0</v>
      </c>
      <c r="H192" s="1727" t="s">
        <v>387</v>
      </c>
      <c r="I192" s="2342">
        <v>192</v>
      </c>
    </row>
    <row r="193" spans="1:9" ht="15.75" thickBot="1" x14ac:dyDescent="0.3">
      <c r="A193" s="1887"/>
      <c r="B193" s="1916"/>
      <c r="C193" s="1888"/>
      <c r="D193" s="1889"/>
      <c r="E193" s="1889"/>
      <c r="F193" s="1889"/>
      <c r="G193" s="1889"/>
      <c r="H193" s="1977"/>
      <c r="I193" s="2243">
        <v>193</v>
      </c>
    </row>
    <row r="194" spans="1:9" ht="16.5" thickBot="1" x14ac:dyDescent="0.3">
      <c r="A194" s="2331" t="s">
        <v>693</v>
      </c>
      <c r="B194" s="1927" t="s">
        <v>734</v>
      </c>
      <c r="C194" s="1917"/>
      <c r="D194" s="867"/>
      <c r="E194" s="1864"/>
      <c r="F194" s="867"/>
      <c r="G194" s="867"/>
      <c r="H194" s="1918"/>
      <c r="I194" s="2191">
        <v>194</v>
      </c>
    </row>
    <row r="195" spans="1:9" ht="30.75" outlineLevel="1" thickBot="1" x14ac:dyDescent="0.3">
      <c r="A195" s="2330" t="str">
        <f>A21</f>
        <v>41-50</v>
      </c>
      <c r="B195" s="2299" t="str">
        <f>SUBSTITUTE(B21&amp;" incl. WAO/AOW/Pensioen, excl. DGA inkomen 41-48",":","")</f>
        <v>Bruto jaar inkomen uit loon incl. WAO/AOW/Pensioen, excl. DGA inkomen 41-48</v>
      </c>
      <c r="C195" s="1660" t="s">
        <v>74</v>
      </c>
      <c r="D195" s="881">
        <f>IF(AL41DGA_AP="Nee",BG041eaArbeidsloon_AP+BG043SocVerzWet_AP+AL45Bouwinkomen_AP+SUM(D18:D19),BG043SocVerzWet_AP+AL45Bouwinkomen_AP+SUM(D18:D19))</f>
        <v>0</v>
      </c>
      <c r="E195" s="1798"/>
      <c r="F195" s="881">
        <f>IF(AL41DGA_AG="Nee",BG041eaArbeidsloon_AG+BG043SocVerzWet_AG+AL45Bouwinkomen_AG+SUM(F18:F19),BG043SocVerzWet_AG+AL45Bouwinkomen_AG+SUM(F18:F19))</f>
        <v>0</v>
      </c>
      <c r="G195" s="1798"/>
      <c r="H195" s="1746" t="s">
        <v>852</v>
      </c>
      <c r="I195" s="2332">
        <v>195</v>
      </c>
    </row>
    <row r="196" spans="1:9" ht="15.75" outlineLevel="1" thickBot="1" x14ac:dyDescent="0.3">
      <c r="A196" s="2302">
        <f>A50</f>
        <v>60</v>
      </c>
      <c r="B196" s="2300" t="str">
        <f>B50</f>
        <v>Bruto loon volgens jaaropgaaf werkgever(s)</v>
      </c>
      <c r="C196" s="1296" t="s">
        <v>74</v>
      </c>
      <c r="D196" s="883">
        <f>AL60Arbeidsinkomen_AP</f>
        <v>0</v>
      </c>
      <c r="E196" s="1299" t="s">
        <v>745</v>
      </c>
      <c r="F196" s="883">
        <f>AL60Arbeidsinkomen_AG</f>
        <v>0</v>
      </c>
      <c r="G196" s="1299" t="s">
        <v>745</v>
      </c>
      <c r="H196" s="1736"/>
      <c r="I196" s="2333">
        <v>196</v>
      </c>
    </row>
    <row r="197" spans="1:9" outlineLevel="1" x14ac:dyDescent="0.25">
      <c r="A197" s="2302" t="s">
        <v>924</v>
      </c>
      <c r="B197" s="2301" t="s">
        <v>1039</v>
      </c>
      <c r="C197" s="2227" t="s">
        <v>74</v>
      </c>
      <c r="D197" s="883">
        <f>E197/BGZVWPremie</f>
        <v>0</v>
      </c>
      <c r="E197" s="883">
        <f>IF(Basisgegevens!D113="zie jaarloon (60)",0,Basisgegevens!D113)</f>
        <v>0</v>
      </c>
      <c r="F197" s="883"/>
      <c r="G197" s="883">
        <f>IF(Basisgegevens!F113="zie jaarloon (60)",0,Basisgegevens!F113)</f>
        <v>0</v>
      </c>
      <c r="H197" s="1736"/>
      <c r="I197" s="2333">
        <v>197</v>
      </c>
    </row>
    <row r="198" spans="1:9" outlineLevel="1" x14ac:dyDescent="0.25">
      <c r="A198" s="2302" t="s">
        <v>1035</v>
      </c>
      <c r="B198" s="2301" t="s">
        <v>1037</v>
      </c>
      <c r="C198" s="2227" t="s">
        <v>74</v>
      </c>
      <c r="D198" s="883">
        <f>BG042AOWuitkering_AP</f>
        <v>0</v>
      </c>
      <c r="E198" s="883">
        <f>Basisgegevens!D123</f>
        <v>0</v>
      </c>
      <c r="F198" s="883">
        <f>BG042AOWuitkering_AG</f>
        <v>0</v>
      </c>
      <c r="G198" s="883">
        <f>Basisgegevens!F123</f>
        <v>0</v>
      </c>
      <c r="H198" s="1736"/>
      <c r="I198" s="2333">
        <v>198</v>
      </c>
    </row>
    <row r="199" spans="1:9" ht="15.75" outlineLevel="1" thickBot="1" x14ac:dyDescent="0.3">
      <c r="A199" s="2302" t="s">
        <v>1036</v>
      </c>
      <c r="B199" s="2301" t="s">
        <v>1038</v>
      </c>
      <c r="C199" s="2227" t="s">
        <v>74</v>
      </c>
      <c r="D199" s="883">
        <f>BG050BrutoPensioen_AP</f>
        <v>0</v>
      </c>
      <c r="E199" s="883">
        <f>Basisgegevens!D140</f>
        <v>0</v>
      </c>
      <c r="F199" s="883">
        <f>BG050BrutoPensioen_AG</f>
        <v>0</v>
      </c>
      <c r="G199" s="883">
        <f>Basisgegevens!F140</f>
        <v>0</v>
      </c>
      <c r="H199" s="1736"/>
      <c r="I199" s="2333">
        <v>199</v>
      </c>
    </row>
    <row r="200" spans="1:9" ht="15.75" outlineLevel="1" thickBot="1" x14ac:dyDescent="0.3">
      <c r="A200" s="1797"/>
      <c r="B200" s="1306" t="s">
        <v>740</v>
      </c>
      <c r="C200" s="1298"/>
      <c r="D200" s="1299">
        <f>SUM(D195:D199)</f>
        <v>0</v>
      </c>
      <c r="E200" s="1299">
        <f>SUM(E197:E199)</f>
        <v>0</v>
      </c>
      <c r="F200" s="1299">
        <f>SUM(F195:F199)</f>
        <v>0</v>
      </c>
      <c r="G200" s="1299">
        <f>SUM(G197:G199)</f>
        <v>0</v>
      </c>
      <c r="H200" s="2207"/>
      <c r="I200" s="2332">
        <v>200</v>
      </c>
    </row>
    <row r="201" spans="1:9" ht="15.75" outlineLevel="1" thickBot="1" x14ac:dyDescent="0.3">
      <c r="A201" s="1449"/>
      <c r="B201" s="1302" t="str">
        <f>Basisgegevens!B221</f>
        <v>Maximumbijdrage-inkomen ZVW-premie in 2024</v>
      </c>
      <c r="C201" s="2008" t="s">
        <v>69</v>
      </c>
      <c r="D201" s="889">
        <f>BGZVWJaarInkomen</f>
        <v>71624</v>
      </c>
      <c r="E201" s="1303"/>
      <c r="F201" s="889">
        <f>BGZVWJaarInkomen</f>
        <v>71624</v>
      </c>
      <c r="G201" s="1303"/>
      <c r="I201" s="2333">
        <v>201</v>
      </c>
    </row>
    <row r="202" spans="1:9" ht="15.75" outlineLevel="1" thickBot="1" x14ac:dyDescent="0.3">
      <c r="A202" s="1450"/>
      <c r="B202" s="1306" t="s">
        <v>746</v>
      </c>
      <c r="C202" s="1298"/>
      <c r="D202" s="1299">
        <f>IF(BGZVWJaarInkomen-D200&lt;=0,0,BGZVWJaarInkomen-D200)</f>
        <v>71624</v>
      </c>
      <c r="E202" s="1301"/>
      <c r="F202" s="1299">
        <f>IF(BGZVWJaarInkomen-F200&lt;=0,0,BGZVWJaarInkomen-F200)</f>
        <v>71624</v>
      </c>
      <c r="G202" s="1301"/>
      <c r="H202" s="2207"/>
      <c r="I202" s="2333">
        <v>202</v>
      </c>
    </row>
    <row r="203" spans="1:9" ht="15.75" outlineLevel="1" thickBot="1" x14ac:dyDescent="0.3">
      <c r="A203" s="1796"/>
      <c r="B203" s="1302"/>
      <c r="C203" s="1691"/>
      <c r="D203" s="1309"/>
      <c r="E203" s="2228"/>
      <c r="F203" s="1310"/>
      <c r="G203" s="2228"/>
      <c r="I203" s="2334">
        <v>203</v>
      </c>
    </row>
    <row r="204" spans="1:9" ht="16.5" outlineLevel="1" thickBot="1" x14ac:dyDescent="0.3">
      <c r="A204" s="1924"/>
      <c r="B204" s="1925" t="s">
        <v>1084</v>
      </c>
      <c r="C204" s="1926"/>
      <c r="D204" s="1299" t="s">
        <v>741</v>
      </c>
      <c r="E204" s="1299" t="s">
        <v>745</v>
      </c>
      <c r="F204" s="1299" t="s">
        <v>741</v>
      </c>
      <c r="G204" s="1299" t="s">
        <v>745</v>
      </c>
      <c r="H204" s="1708"/>
      <c r="I204" s="2335">
        <v>204</v>
      </c>
    </row>
    <row r="205" spans="1:9" ht="30" outlineLevel="1" x14ac:dyDescent="0.25">
      <c r="A205" s="2269" t="str">
        <f>A11</f>
        <v>44/47/48</v>
      </c>
      <c r="B205" s="2270" t="str">
        <f>B6&amp;" als DGA? "&amp;AL41DGA_AP&amp;" (AP) / "&amp;AL41DGA_AG&amp;" (AG)"</f>
        <v>Bruto arbeidsinkomen uit dienstbetrekking (1 en 2) als DGA? Nee (AP) / Nee (AG)</v>
      </c>
      <c r="C205" s="1295" t="s">
        <v>74</v>
      </c>
      <c r="D205" s="881">
        <f>IF(AL41DGA_AP="Ja",AL41Arbeidsinkomen_AP+SUM(D7:D11),0)</f>
        <v>0</v>
      </c>
      <c r="E205" s="881">
        <f>IF(OR(ALZVWRestbedrag_AP&lt;=0,D205=0),0,IF(ALZVWRestbedrag_AP-AL41Arbeidsinkomen_AP-SUM(D7:D11)&lt;=0,ALZVWRestbedrag_AP*BGZVWPremie,IF(AL41Arbeidsinkomen_AP+SUM(D7:D11)&gt;BGZVWJaarInkomen,BGZVWJaarInkomen,AL41Arbeidsinkomen_AP+SUM(D7:D11))*BGZVWPremie))</f>
        <v>0</v>
      </c>
      <c r="F205" s="881">
        <f>IF(AL41DGA_AG="Ja",AL41Arbeidsinkomen_AG+SUM(F7:F11),0)</f>
        <v>0</v>
      </c>
      <c r="G205" s="881">
        <f>IF(OR(ALZVWRestbedrag_AG&lt;=0,F205=0),0,IF(ALZVWRestbedrag_AG-AL41Arbeidsinkomen_AG-SUM(F7:F11)&lt;=0,ALZVWRestbedrag_AG*BGZVWPremie,IF(AL41Arbeidsinkomen_AG+SUM(F7:F11)&gt;BGZVWJaarInkomen,BGZVWJaarInkomen,AL41Arbeidsinkomen_AG+SUM(F7:F11))*BGZVWPremie))</f>
        <v>0</v>
      </c>
      <c r="H205" s="1746" t="s">
        <v>865</v>
      </c>
      <c r="I205" s="2371">
        <v>205</v>
      </c>
    </row>
    <row r="206" spans="1:9" outlineLevel="1" x14ac:dyDescent="0.25">
      <c r="A206" s="2271">
        <f>A75</f>
        <v>75</v>
      </c>
      <c r="B206" s="2273" t="str">
        <f>SUBSTITUTE(B75,":","")</f>
        <v>Belastbare winst uit onderneming</v>
      </c>
      <c r="C206" s="1296" t="s">
        <v>74</v>
      </c>
      <c r="D206" s="303">
        <f>AL75BelastbareWinst_AP</f>
        <v>0</v>
      </c>
      <c r="E206" s="303">
        <f>IF(OR(ALZVWRestbedrag_AP-D$205&lt;=0,AL75BelastbareWinst_AP&lt;0),0,IF(ALZVWRestbedrag_AP-D$205-AL75BelastbareWinst_AP&lt;=0,(ALZVWRestbedrag_AP-D$205)*BGZVWPremie,IF(AL75BelastbareWinst_AP&gt;BGZVWJaarInkomen,BGZVWJaarInkomen,AL75BelastbareWinst_AP)*BGZVWPremie))</f>
        <v>0</v>
      </c>
      <c r="F206" s="303">
        <f>AL75BelastbareWinst_AG</f>
        <v>0</v>
      </c>
      <c r="G206" s="303">
        <f>IF(OR(ALZVWRestbedrag_AG-F$205&lt;=0,AL75BelastbareWinst_AG&lt;0),0,IF(ALZVWRestbedrag_AG-F$205-AL75BelastbareWinst_AG&lt;=0,(ALZVWRestbedrag_AG-F$205)*BGZVWPremie,IF(AL75BelastbareWinst_AG&gt;BGZVWJaarInkomen,BGZVWJaarInkomen,AL75BelastbareWinst_AG)*BGZVWPremie))</f>
        <v>0</v>
      </c>
      <c r="H206" s="1735" t="s">
        <v>929</v>
      </c>
      <c r="I206" s="2372">
        <v>206</v>
      </c>
    </row>
    <row r="207" spans="1:9" outlineLevel="1" x14ac:dyDescent="0.25">
      <c r="A207" s="2271">
        <f>A80</f>
        <v>78</v>
      </c>
      <c r="B207" s="2272" t="str">
        <f>SUBSTITUTE(B80,":","")</f>
        <v>Belastbaar resultaat uit overige werkzaamheden</v>
      </c>
      <c r="C207" s="1296" t="s">
        <v>74</v>
      </c>
      <c r="D207" s="303">
        <f>AL78OverigeWerkz_AP</f>
        <v>0</v>
      </c>
      <c r="E207" s="303">
        <f>IF((ALZVWRestbedrag_AP-D$205-IF(AL75BelastbareWinst_AP&lt;=0,0,AL75BelastbareWinst_AP))&lt;=0,0,IF(ALZVWRestbedrag_AP-D$205-IF(AL75BelastbareWinst_AP&lt;=0,0,AL75BelastbareWinst_AP)-AL78OverigeWerkz_AP&lt;=0,(ALZVWRestbedrag_AP-D$205-IF(AL75BelastbareWinst_AP&lt;=0,0,AL75BelastbareWinst_AP))*BGZVWPremie,AL78OverigeWerkz_AP*BGZVWPremie))</f>
        <v>0</v>
      </c>
      <c r="F207" s="303">
        <f>AL78OverigeWerkz_AG</f>
        <v>0</v>
      </c>
      <c r="G207" s="303">
        <f>IF((ALZVWRestbedrag_AG-F$205-IF(AL75BelastbareWinst_AG&lt;=0,0,AL75BelastbareWinst_AG))&lt;=0,0,IF(ALZVWRestbedrag_AG-F$205-IF(AL75BelastbareWinst_AG&lt;=0,0,AL75BelastbareWinst_AG)-AL78OverigeWerkz_AG&lt;=0,(ALZVWRestbedrag_AG-F$205-IF(AL75BelastbareWinst_AG&lt;=0,0,AL75BelastbareWinst_AG))*BGZVWPremie,AL78OverigeWerkz_AG*BGZVWPremie))</f>
        <v>0</v>
      </c>
      <c r="H207" s="1735" t="s">
        <v>930</v>
      </c>
      <c r="I207" s="2372">
        <v>207</v>
      </c>
    </row>
    <row r="208" spans="1:9" outlineLevel="1" x14ac:dyDescent="0.25">
      <c r="A208" s="2271" t="s">
        <v>709</v>
      </c>
      <c r="B208" s="2272" t="s">
        <v>922</v>
      </c>
      <c r="C208" s="1296" t="s">
        <v>74</v>
      </c>
      <c r="D208" s="303">
        <f>AL79aVEWRentePA_AP</f>
        <v>0</v>
      </c>
      <c r="E208" s="303">
        <f>IF((ALZVWRestbedrag_AP-D$205-IF(AL75BelastbareWinst_AP&lt;=0,0,AL75BelastbareWinst_AP)-AL78OverigeWerkz_AP)&lt;=0,0,IF(ALZVWRestbedrag_AP-D$205-IF(AL75BelastbareWinst_AP&lt;=0,0,AL75BelastbareWinst_AP)-AL78OverigeWerkz_AP-AL79aVEWRentePA_AP&lt;=0,(ALZVWRestbedrag_AP-D$205-IF(AL75BelastbareWinst_AP&lt;=0,0,AL75BelastbareWinst_AP)-AL78OverigeWerkz_AP)*BGZVWPremie,AL79aVEWRentePA_AP*BGZVWPremie))</f>
        <v>0</v>
      </c>
      <c r="F208" s="303">
        <f>AL79aVEWRentePA_AG</f>
        <v>0</v>
      </c>
      <c r="G208" s="303">
        <f>IF((ALZVWRestbedrag_AG-F$205-IF(AL75BelastbareWinst_AG&lt;=0,0,AL75BelastbareWinst_AG)-AL78OverigeWerkz_AG)&lt;=0,0,IF(ALZVWRestbedrag_AG-F$205-IF(AL75BelastbareWinst_AG&lt;=0,0,AL75BelastbareWinst_AG)-AL78OverigeWerkz_AG-AL79aVEWRentePA_AG&lt;=0,(ALZVWRestbedrag_AG-F$205-IF(AL75BelastbareWinst_AG&lt;=0,0,AL75BelastbareWinst_AG)-AL78OverigeWerkz_AG)*BGZVWPremie,AL79aVEWRentePA_AG*BGZVWPremie))</f>
        <v>0</v>
      </c>
      <c r="H208" s="1735" t="s">
        <v>931</v>
      </c>
      <c r="I208" s="2372">
        <v>208</v>
      </c>
    </row>
    <row r="209" spans="1:9" outlineLevel="1" x14ac:dyDescent="0.25">
      <c r="A209" s="2271">
        <f>A86</f>
        <v>81</v>
      </c>
      <c r="B209" s="2273" t="str">
        <f>SUBSTITUTE(B86,":","")</f>
        <v>Belastbare periodieke uitkeringen en verstrekkingen</v>
      </c>
      <c r="C209" s="1296" t="s">
        <v>74</v>
      </c>
      <c r="D209" s="303">
        <f>AL81PeriodiekeUitk_AP</f>
        <v>0</v>
      </c>
      <c r="E209" s="303">
        <f>IF((ALZVWRestbedrag_AP-D$205-IF(AL75BelastbareWinst_AP&lt;=0,0,AL75BelastbareWinst_AP)-AL78OverigeWerkz_AP-AL79aVEWRentePA_AP)&lt;=0,0,IF(ALZVWRestbedrag_AP-D$205-IF(AL75BelastbareWinst_AP&lt;=0,0,AL75BelastbareWinst_AP)-AL78OverigeWerkz_AP-AL79aVEWRentePA_AP-AL81PeriodiekeUitk_AP&lt;=0,(ALZVWRestbedrag_AP-D$205-IF(AL75BelastbareWinst_AP&lt;=0,0,AL75BelastbareWinst_AP)-AL78OverigeWerkz_AP-AL79aVEWRentePA_AP)*BGZVWPremie,AL81PeriodiekeUitk_AP*BGZVWPremie))</f>
        <v>0</v>
      </c>
      <c r="F209" s="303">
        <f>AL81PeriodiekeUitk_AG</f>
        <v>0</v>
      </c>
      <c r="G209" s="303">
        <f>IF((ALZVWRestbedrag_AG-F$205-IF(AL75BelastbareWinst_AG&lt;=0,0,AL75BelastbareWinst_AG)-AL78OverigeWerkz_AG-AL79aVEWRentePA_AG)&lt;=0,0,IF(ALZVWRestbedrag_AG-F$205-IF(AL75BelastbareWinst_AG&lt;=0,0,AL75BelastbareWinst_AG)-AL78OverigeWerkz_AG-AL79aVEWRentePA_AG-AL81PeriodiekeUitk_AG&lt;=0,(ALZVWRestbedrag_AG-F$205-IF(AL75BelastbareWinst_AG&lt;=0,0,AL75BelastbareWinst_AG)-AL78OverigeWerkz_AG-AL79aVEWRentePA_AG)*BGZVWPremie,AL81PeriodiekeUitk_AG*BGZVWPremie))</f>
        <v>0</v>
      </c>
      <c r="H209" s="1735" t="s">
        <v>932</v>
      </c>
      <c r="I209" s="2372">
        <v>209</v>
      </c>
    </row>
    <row r="210" spans="1:9" outlineLevel="1" x14ac:dyDescent="0.25">
      <c r="A210" s="2274" t="s">
        <v>693</v>
      </c>
      <c r="B210" s="2273" t="str">
        <f>"OEW: "&amp;Basisgegevens!M186</f>
        <v>OEW: Eigen Woning Forfait bijdrage ZVW over EWF berekenen over</v>
      </c>
      <c r="C210" s="1296" t="s">
        <v>74</v>
      </c>
      <c r="D210" s="303">
        <f>IF(BGOEWRekenModule="Ja",BGOEW117aEWFZVW_AP,0)</f>
        <v>0</v>
      </c>
      <c r="E210" s="303">
        <f ca="1">IF((ALZVWRestbedrag_AP-D$205-IF(AL75BelastbareWinst_AP&lt;=0,0,AL75BelastbareWinst_AP)-AL78OverigeWerkz_AP-AL79aVEWRentePA_AP-AL81PeriodiekeUitk_AP)&lt;=0,0,IF(ALZVWRestbedrag_AP-D$205-IF(AL75BelastbareWinst_AP&lt;=0,0,AL75BelastbareWinst_AP)-AL78OverigeWerkz_AP-AL79aVEWRentePA_AP-AL81PeriodiekeUitk_AP-BGOEW117aEWFZVW_AP&lt;=0,(ALZVWRestbedrag_AP-D$205-IF(AL75BelastbareWinst_AP&lt;=0,0,AL75BelastbareWinst_AP)-AL78OverigeWerkz_AP-AL79aVEWRentePA_AP-AL81PeriodiekeUitk_AP)*BGZVWPremie,BGOEW117aEWFZVW_AP*BGZVWPremie))</f>
        <v>0</v>
      </c>
      <c r="F210" s="303">
        <f>IF(BGOEWRekenModule="Ja",BGOEW117aEWFZVW_AG,0)</f>
        <v>0</v>
      </c>
      <c r="G210" s="303">
        <f ca="1">IF((ALZVWRestbedrag_AG-F$205-IF(AL75BelastbareWinst_AG&lt;=0,0,AL75BelastbareWinst_AG)-AL78OverigeWerkz_AG-AL79aVEWRentePA_AG-AL81PeriodiekeUitk_AG)&lt;=0,0,IF(ALZVWRestbedrag_AG-F$205-IF(AL75BelastbareWinst_AG&lt;=0,0,AL75BelastbareWinst_AG)-AL78OverigeWerkz_AG-AL79aVEWRentePA_AG-AL81PeriodiekeUitk_AG-BGOEW117aEWFZVW_AG&lt;=0,(ALZVWRestbedrag_AG-F$205-IF(AL75BelastbareWinst_AG&lt;=0,0,AL75BelastbareWinst_AG)-AL78OverigeWerkz_AG-AL79aVEWRentePA_AG-AL81PeriodiekeUitk_AG)*BGZVWPremie,BGOEW117aEWFZVW_AG*BGZVWPremie))</f>
        <v>0</v>
      </c>
      <c r="H210" s="1735" t="s">
        <v>933</v>
      </c>
      <c r="I210" s="2373">
        <v>210</v>
      </c>
    </row>
    <row r="211" spans="1:9" ht="15.75" outlineLevel="1" thickBot="1" x14ac:dyDescent="0.3">
      <c r="A211" s="2275" t="str">
        <f>Basisgegevens!L190</f>
        <v>117a</v>
      </c>
      <c r="B211" s="2276" t="str">
        <f>"OEW: "&amp;Basisgegevens!M190</f>
        <v>OEW: Rente bijdrage ZVW over de rente berekenen over</v>
      </c>
      <c r="C211" s="1359" t="s">
        <v>74</v>
      </c>
      <c r="D211" s="305">
        <f>IF(BGOEWRekenModule="Ja",BGOEW117aRenteZVW_AP,0)</f>
        <v>0</v>
      </c>
      <c r="E211" s="305">
        <f ca="1">IF((ALZVWRestbedrag_AP-D$205-IF(AL75BelastbareWinst_AP&lt;=0,0,AL75BelastbareWinst_AP)-AL78OverigeWerkz_AP-AL79aVEWRentePA_AP-AL81PeriodiekeUitk_AP-BGOEW117aEWFZVW_AP)&lt;=0,0,IF(ALZVWRestbedrag_AP-D$205-IF(AL75BelastbareWinst_AP&lt;=0,0,AL75BelastbareWinst_AP)-AL78OverigeWerkz_AP-AL79aVEWRentePA_AP-AL81PeriodiekeUitk_AP-BGOEW117aEWFZVW_AP-BGOEW117aRenteZVW_AP&lt;=0,(ALZVWRestbedrag_AP-D$205-IF(AL75BelastbareWinst_AP&lt;=0,0,AL75BelastbareWinst_AP)-AL78OverigeWerkz_AP-AL79aVEWRentePA_AP-AL81PeriodiekeUitk_AP-BGOEW117aEWFZVW_AP)*BGZVWPremie,BGOEW117aRenteZVW_AP*BGZVWPremie))</f>
        <v>0</v>
      </c>
      <c r="F211" s="305">
        <f>IF(BGOEWRekenModule="Ja",BGOEW117aRenteZVW_AG,0)</f>
        <v>0</v>
      </c>
      <c r="G211" s="305">
        <f ca="1">IF((ALZVWRestbedrag_AG-F$205-IF(AL75BelastbareWinst_AG&lt;=0,0,AL75BelastbareWinst_AG)-AL78OverigeWerkz_AG-AL79aVEWRentePA_AG-AL81PeriodiekeUitk_AG-BGOEW117aEWFZVW_AG)&lt;=0,0,IF(ALZVWRestbedrag_AG-F$205-IF(AL75BelastbareWinst_AG&lt;=0,0,AL75BelastbareWinst_AG)-AL78OverigeWerkz_AG-AL79aVEWRentePA_AG-AL81PeriodiekeUitk_AG-BGOEW117aEWFZVW_AG-BGOEW117aRenteZVW_AG&lt;=0,(ALZVWRestbedrag_AG-F$205-IF(AL75BelastbareWinst_AG&lt;=0,0,AL75BelastbareWinst_AG)-AL78OverigeWerkz_AG-AL79aVEWRentePA_AG-AL81PeriodiekeUitk_AG-BGOEW117aEWFZVW_AG)*BGZVWPremie,BGOEW117aRenteZVW_AG*BGZVWPremie))</f>
        <v>0</v>
      </c>
      <c r="H211" s="1688" t="s">
        <v>933</v>
      </c>
      <c r="I211" s="2374">
        <v>211</v>
      </c>
    </row>
    <row r="212" spans="1:9" ht="15.75" thickBot="1" x14ac:dyDescent="0.3">
      <c r="A212" s="1311"/>
      <c r="B212" s="2007" t="s">
        <v>1085</v>
      </c>
      <c r="C212" s="2008" t="s">
        <v>69</v>
      </c>
      <c r="D212" s="2009">
        <f>IF(AL75BelastbareWinst_AP&lt;0,IF(SUM(D205:D205)+SUM(D207:D211)&gt;ALZVWRestbedrag_AP,ALZVWRestbedrag_AP,SUM(D205:D205)+SUM(D207:D211)),IF(SUM(D205:D211)&gt;ALZVWRestbedrag_AP,ALZVWRestbedrag_AP,SUM(D205:D211)))</f>
        <v>0</v>
      </c>
      <c r="E212" s="2009">
        <f ca="1">SUM(E205:E211)</f>
        <v>0</v>
      </c>
      <c r="F212" s="2009">
        <f>IF(AL75BelastbareWinst_AP&lt;0,IF(SUM(F205:F205)+SUM(F207:F211)&gt;ALZVWRestbedrag_AP,ALZVWRestbedrag_AP,SUM(F205:F205)+SUM(F207:F211)),IF(SUM(F205:F211)&gt;ALZVWRestbedrag_AP,ALZVWRestbedrag_AP,SUM(F205:F211)))</f>
        <v>0</v>
      </c>
      <c r="G212" s="2009">
        <f ca="1">SUM(G205:G211)</f>
        <v>0</v>
      </c>
      <c r="H212" s="1799"/>
      <c r="I212" s="323">
        <v>212</v>
      </c>
    </row>
    <row r="213" spans="1:9" ht="30.75" thickBot="1" x14ac:dyDescent="0.3">
      <c r="A213" s="2010"/>
      <c r="B213" s="1306" t="s">
        <v>744</v>
      </c>
      <c r="C213" s="1307"/>
      <c r="D213" s="1299">
        <f>IF(ALZVWRestbedrag_AP-D212&lt;=0,0,ALZVWRestbedrag_AP-D212)</f>
        <v>71624</v>
      </c>
      <c r="E213" s="1301"/>
      <c r="F213" s="2011">
        <f>IF(ALZVWRestbedrag_AG-F212&lt;=0,0,ALZVWRestbedrag_AG-F212)</f>
        <v>71624</v>
      </c>
      <c r="G213" s="1301"/>
      <c r="H213" s="1757" t="s">
        <v>743</v>
      </c>
      <c r="I213" s="2335">
        <v>213</v>
      </c>
    </row>
    <row r="214" spans="1:9" ht="15.75" outlineLevel="1" thickBot="1" x14ac:dyDescent="0.3">
      <c r="A214" s="1897"/>
      <c r="B214" s="1922"/>
      <c r="C214" s="1899"/>
      <c r="D214" s="1900"/>
      <c r="E214" s="1900"/>
      <c r="F214" s="1900"/>
      <c r="G214" s="1900"/>
      <c r="H214" s="1978"/>
      <c r="I214" s="2336">
        <v>214</v>
      </c>
    </row>
    <row r="215" spans="1:9" ht="16.5" outlineLevel="1" thickBot="1" x14ac:dyDescent="0.3">
      <c r="A215" s="1861">
        <v>118</v>
      </c>
      <c r="B215" s="1871" t="s">
        <v>912</v>
      </c>
      <c r="C215" s="1923"/>
      <c r="D215" s="1864"/>
      <c r="E215" s="1864"/>
      <c r="F215" s="1864"/>
      <c r="G215" s="1864"/>
      <c r="H215" s="1918"/>
      <c r="I215" s="2191">
        <v>215</v>
      </c>
    </row>
    <row r="216" spans="1:9" ht="45.75" outlineLevel="1" thickBot="1" x14ac:dyDescent="0.3">
      <c r="A216" s="1716">
        <v>118</v>
      </c>
      <c r="B216" s="314" t="s">
        <v>38</v>
      </c>
      <c r="C216" s="1305" t="s">
        <v>74</v>
      </c>
      <c r="D216" s="1920">
        <v>0</v>
      </c>
      <c r="E216" s="1717">
        <f>D216</f>
        <v>0</v>
      </c>
      <c r="F216" s="1921">
        <v>0</v>
      </c>
      <c r="G216" s="1717">
        <f>F216</f>
        <v>0</v>
      </c>
      <c r="H216" s="1738" t="s">
        <v>226</v>
      </c>
      <c r="I216" s="349">
        <v>216</v>
      </c>
    </row>
    <row r="217" spans="1:9" ht="15.75" outlineLevel="1" thickBot="1" x14ac:dyDescent="0.3">
      <c r="A217" s="1897"/>
      <c r="B217" s="1922"/>
      <c r="C217" s="1899"/>
      <c r="D217" s="1900"/>
      <c r="E217" s="1900"/>
      <c r="F217" s="1900"/>
      <c r="G217" s="1900"/>
      <c r="H217" s="1978"/>
      <c r="I217" s="2336">
        <v>217</v>
      </c>
    </row>
    <row r="218" spans="1:9" ht="16.5" outlineLevel="1" thickBot="1" x14ac:dyDescent="0.3">
      <c r="A218" s="1861" t="s">
        <v>39</v>
      </c>
      <c r="B218" s="1871" t="s">
        <v>911</v>
      </c>
      <c r="C218" s="1923"/>
      <c r="D218" s="1864"/>
      <c r="E218" s="1864"/>
      <c r="F218" s="1864"/>
      <c r="G218" s="1864"/>
      <c r="H218" s="1918"/>
      <c r="I218" s="2191">
        <v>218</v>
      </c>
    </row>
    <row r="219" spans="1:9" ht="45" customHeight="1" outlineLevel="1" x14ac:dyDescent="0.25">
      <c r="A219" s="1526">
        <v>119</v>
      </c>
      <c r="B219" s="1294" t="s">
        <v>589</v>
      </c>
      <c r="C219" s="190" t="s">
        <v>74</v>
      </c>
      <c r="D219" s="35">
        <v>0</v>
      </c>
      <c r="E219" s="302">
        <f>D219</f>
        <v>0</v>
      </c>
      <c r="F219" s="1245">
        <v>0</v>
      </c>
      <c r="G219" s="302">
        <f>F219</f>
        <v>0</v>
      </c>
      <c r="H219" s="1687" t="s">
        <v>1048</v>
      </c>
      <c r="I219" s="28">
        <v>219</v>
      </c>
    </row>
    <row r="220" spans="1:9" ht="30" customHeight="1" outlineLevel="1" x14ac:dyDescent="0.25">
      <c r="A220" s="81"/>
      <c r="B220" s="100" t="s">
        <v>1086</v>
      </c>
      <c r="C220" s="191" t="s">
        <v>74</v>
      </c>
      <c r="D220" s="303">
        <f>IF(AND(BGOEWRekenModule="Ja",Basisgegevens!$E$193=BGPartner_AP),BGOEWWoonvergoeding*12,0)</f>
        <v>0</v>
      </c>
      <c r="E220" s="1713" t="s">
        <v>260</v>
      </c>
      <c r="F220" s="893">
        <f>IF(AND(BGOEWRekenModule="Ja",Basisgegevens!$E$193=BGPartner_AG),BGOEWWoonvergoeding*12,0)</f>
        <v>0</v>
      </c>
      <c r="G220" s="1713" t="s">
        <v>260</v>
      </c>
      <c r="H220" s="1756" t="s">
        <v>903</v>
      </c>
      <c r="I220" s="66">
        <v>220</v>
      </c>
    </row>
    <row r="221" spans="1:9" outlineLevel="1" x14ac:dyDescent="0.25">
      <c r="A221" s="81"/>
      <c r="B221" s="100" t="s">
        <v>299</v>
      </c>
      <c r="C221" s="193" t="s">
        <v>74</v>
      </c>
      <c r="D221" s="303">
        <f>BG119aBijstand_AP</f>
        <v>0</v>
      </c>
      <c r="E221" s="303">
        <f>D221</f>
        <v>0</v>
      </c>
      <c r="F221" s="893">
        <f>BG119aBijstand_AG</f>
        <v>0</v>
      </c>
      <c r="G221" s="303">
        <f>F221</f>
        <v>0</v>
      </c>
      <c r="H221" s="1735" t="s">
        <v>1087</v>
      </c>
      <c r="I221" s="66">
        <v>221</v>
      </c>
    </row>
    <row r="222" spans="1:9" ht="45" outlineLevel="1" x14ac:dyDescent="0.25">
      <c r="A222" s="81"/>
      <c r="B222" s="100" t="s">
        <v>861</v>
      </c>
      <c r="C222" s="193" t="s">
        <v>74</v>
      </c>
      <c r="D222" s="1713" t="s">
        <v>260</v>
      </c>
      <c r="E222" s="303">
        <f>IF(BGKGBbij119a="Nee",0,BG119aKGBNaScheidingAP*12)</f>
        <v>0</v>
      </c>
      <c r="F222" s="1713" t="s">
        <v>260</v>
      </c>
      <c r="G222" s="303">
        <f>IF(BGKGBbij119a="Nee",0,BG119aKGBNaScheidingAG*12)</f>
        <v>0</v>
      </c>
      <c r="H222" s="1735" t="s">
        <v>860</v>
      </c>
      <c r="I222" s="66">
        <v>222</v>
      </c>
    </row>
    <row r="223" spans="1:9" ht="44.25" customHeight="1" outlineLevel="1" thickBot="1" x14ac:dyDescent="0.3">
      <c r="A223" s="82"/>
      <c r="B223" s="996" t="s">
        <v>862</v>
      </c>
      <c r="C223" s="1305" t="s">
        <v>74</v>
      </c>
      <c r="D223" s="912">
        <v>0</v>
      </c>
      <c r="E223" s="305">
        <f>D223</f>
        <v>0</v>
      </c>
      <c r="F223" s="338">
        <v>0</v>
      </c>
      <c r="G223" s="305">
        <f>F223</f>
        <v>0</v>
      </c>
      <c r="H223" s="1688" t="s">
        <v>388</v>
      </c>
      <c r="I223" s="30">
        <v>223</v>
      </c>
    </row>
    <row r="224" spans="1:9" ht="15.75" thickBot="1" x14ac:dyDescent="0.3">
      <c r="A224" s="1806" t="s">
        <v>39</v>
      </c>
      <c r="B224" s="673" t="s">
        <v>1113</v>
      </c>
      <c r="C224" s="674"/>
      <c r="D224" s="1800">
        <f>SUM(D219:D223)</f>
        <v>0</v>
      </c>
      <c r="E224" s="1289">
        <f>SUM(E219:E223)</f>
        <v>0</v>
      </c>
      <c r="F224" s="1289">
        <f>SUM(F219:F223)</f>
        <v>0</v>
      </c>
      <c r="G224" s="1801">
        <f>SUM(G219:G223)</f>
        <v>0</v>
      </c>
      <c r="H224" s="1802"/>
      <c r="I224" s="2342">
        <v>224</v>
      </c>
    </row>
    <row r="225" spans="1:9" ht="15.75" thickBot="1" x14ac:dyDescent="0.3">
      <c r="A225" s="1897"/>
      <c r="B225" s="1922"/>
      <c r="C225" s="1899"/>
      <c r="D225" s="1900"/>
      <c r="E225" s="1900"/>
      <c r="F225" s="1900"/>
      <c r="G225" s="1900"/>
      <c r="H225" s="1978"/>
      <c r="I225" s="2336">
        <v>225</v>
      </c>
    </row>
    <row r="226" spans="1:9" ht="16.5" thickBot="1" x14ac:dyDescent="0.3">
      <c r="A226" s="1861" t="s">
        <v>40</v>
      </c>
      <c r="B226" s="1871" t="s">
        <v>928</v>
      </c>
      <c r="C226" s="1923"/>
      <c r="D226" s="1864"/>
      <c r="E226" s="1864"/>
      <c r="F226" s="1864"/>
      <c r="G226" s="1864"/>
      <c r="H226" s="1918"/>
      <c r="I226" s="2191">
        <v>226</v>
      </c>
    </row>
    <row r="227" spans="1:9" ht="43.15" customHeight="1" outlineLevel="1" thickBot="1" x14ac:dyDescent="0.3">
      <c r="A227" s="31" t="s">
        <v>40</v>
      </c>
      <c r="B227" s="85" t="s">
        <v>997</v>
      </c>
      <c r="C227" s="1803" t="s">
        <v>69</v>
      </c>
      <c r="D227" s="1807">
        <f>AL51aPensioenSparen_AP</f>
        <v>0</v>
      </c>
      <c r="E227" s="1807">
        <f>D227</f>
        <v>0</v>
      </c>
      <c r="F227" s="1807">
        <f>AL51aPensioenSparen_AG</f>
        <v>0</v>
      </c>
      <c r="G227" s="1681">
        <f>F227</f>
        <v>0</v>
      </c>
      <c r="H227" s="1760" t="str">
        <f>"Bijv. premie netto pensioensparen. Dit gaat dan over het bedrag dat boven de fiscaal gefaciliteerde pensioenopbouw tot max. € "&amp;Basisgegevens!C215&amp;" per jaar gaat."</f>
        <v>Bijv. premie netto pensioensparen. Dit gaat dan over het bedrag dat boven de fiscaal gefaciliteerde pensioenopbouw tot max. € 137800 per jaar gaat.</v>
      </c>
      <c r="I227" s="30">
        <v>227</v>
      </c>
    </row>
    <row r="228" spans="1:9" ht="15.75" outlineLevel="1" thickBot="1" x14ac:dyDescent="0.3">
      <c r="A228" s="1897"/>
      <c r="B228" s="1922"/>
      <c r="C228" s="1899"/>
      <c r="D228" s="1900"/>
      <c r="E228" s="1900"/>
      <c r="F228" s="1900"/>
      <c r="G228" s="1900"/>
      <c r="H228" s="1978"/>
      <c r="I228" s="2336">
        <v>228</v>
      </c>
    </row>
    <row r="229" spans="1:9" ht="16.5" outlineLevel="1" thickBot="1" x14ac:dyDescent="0.3">
      <c r="A229" s="2304"/>
      <c r="B229" s="2305" t="s">
        <v>925</v>
      </c>
      <c r="C229" s="2306"/>
      <c r="D229" s="1864"/>
      <c r="E229" s="1864"/>
      <c r="F229" s="1864"/>
      <c r="G229" s="1864"/>
      <c r="H229" s="1918"/>
      <c r="I229" s="2340">
        <v>229</v>
      </c>
    </row>
    <row r="230" spans="1:9" outlineLevel="1" x14ac:dyDescent="0.25">
      <c r="A230" s="2309" t="str">
        <f>A197</f>
        <v>41/57</v>
      </c>
      <c r="B230" s="2310" t="str">
        <f>B197</f>
        <v>Ink.afhankelijke bijdrage premie ZVW al betaald bij post 41 Looninkomsten</v>
      </c>
      <c r="C230" s="2311" t="s">
        <v>69</v>
      </c>
      <c r="D230" s="1685">
        <f>IF(Basisgegevens!D113="zie jaarloon (60)",0,Basisgegevens!D113)</f>
        <v>0</v>
      </c>
      <c r="E230" s="2001">
        <f t="shared" ref="E230:E235" si="0">D230</f>
        <v>0</v>
      </c>
      <c r="F230" s="1686">
        <f>IF(Basisgegevens!F113="zie jaarloon (60)",0,Basisgegevens!F113)</f>
        <v>0</v>
      </c>
      <c r="G230" s="2003">
        <f t="shared" ref="G230:G235" si="1">F230</f>
        <v>0</v>
      </c>
      <c r="H230" s="1799"/>
      <c r="I230" s="2363">
        <v>230</v>
      </c>
    </row>
    <row r="231" spans="1:9" outlineLevel="1" x14ac:dyDescent="0.25">
      <c r="A231" s="2277" t="str">
        <f>A205</f>
        <v>44/47/48</v>
      </c>
      <c r="B231" s="312" t="str">
        <f>B205</f>
        <v>Bruto arbeidsinkomen uit dienstbetrekking (1 en 2) als DGA? Nee (AP) / Nee (AG)</v>
      </c>
      <c r="C231" s="1335" t="s">
        <v>69</v>
      </c>
      <c r="D231" s="893">
        <f>E205</f>
        <v>0</v>
      </c>
      <c r="E231" s="2002">
        <f t="shared" ref="E231:E232" si="2">D231</f>
        <v>0</v>
      </c>
      <c r="F231" s="303">
        <f>G205</f>
        <v>0</v>
      </c>
      <c r="G231" s="1278">
        <f t="shared" ref="G231:G232" si="3">F231</f>
        <v>0</v>
      </c>
      <c r="H231" s="1723"/>
      <c r="I231" s="954">
        <v>231</v>
      </c>
    </row>
    <row r="232" spans="1:9" outlineLevel="1" x14ac:dyDescent="0.25">
      <c r="A232" s="2277" t="str">
        <f>A198</f>
        <v>42/57</v>
      </c>
      <c r="B232" s="312" t="str">
        <f>B198</f>
        <v>Ink.afhankelijke bijdrage premie ZVW al betaald bij post 42 AOW</v>
      </c>
      <c r="C232" s="1335" t="s">
        <v>69</v>
      </c>
      <c r="D232" s="893">
        <f>Basisgegevens!D123</f>
        <v>0</v>
      </c>
      <c r="E232" s="2002">
        <f t="shared" si="2"/>
        <v>0</v>
      </c>
      <c r="F232" s="303">
        <f>Basisgegevens!F123</f>
        <v>0</v>
      </c>
      <c r="G232" s="1278">
        <f t="shared" si="3"/>
        <v>0</v>
      </c>
      <c r="H232" s="1723"/>
      <c r="I232" s="954">
        <v>232</v>
      </c>
    </row>
    <row r="233" spans="1:9" outlineLevel="1" x14ac:dyDescent="0.25">
      <c r="A233" s="2277" t="str">
        <f>A199</f>
        <v>50/57</v>
      </c>
      <c r="B233" s="312" t="str">
        <f>B199</f>
        <v>Ink.afhankelijke bijdrage premie ZVW al betaald bij post 50 Pensioen</v>
      </c>
      <c r="C233" s="1335" t="s">
        <v>69</v>
      </c>
      <c r="D233" s="893">
        <f>Basisgegevens!D140</f>
        <v>0</v>
      </c>
      <c r="E233" s="2002">
        <f t="shared" si="0"/>
        <v>0</v>
      </c>
      <c r="F233" s="303">
        <f>Basisgegevens!F140</f>
        <v>0</v>
      </c>
      <c r="G233" s="1278">
        <f t="shared" si="1"/>
        <v>0</v>
      </c>
      <c r="H233" s="1723"/>
      <c r="I233" s="954">
        <v>233</v>
      </c>
    </row>
    <row r="234" spans="1:9" outlineLevel="1" x14ac:dyDescent="0.25">
      <c r="A234" s="2277">
        <f t="shared" ref="A234:B239" si="4">A206</f>
        <v>75</v>
      </c>
      <c r="B234" s="312" t="str">
        <f t="shared" si="4"/>
        <v>Belastbare winst uit onderneming</v>
      </c>
      <c r="C234" s="1335" t="s">
        <v>69</v>
      </c>
      <c r="D234" s="893">
        <f t="shared" ref="D234:D239" si="5">E206</f>
        <v>0</v>
      </c>
      <c r="E234" s="2002">
        <f t="shared" si="0"/>
        <v>0</v>
      </c>
      <c r="F234" s="303">
        <f t="shared" ref="F234:F239" si="6">G206</f>
        <v>0</v>
      </c>
      <c r="G234" s="1278">
        <f t="shared" si="1"/>
        <v>0</v>
      </c>
      <c r="H234" s="1723"/>
      <c r="I234" s="954">
        <v>234</v>
      </c>
    </row>
    <row r="235" spans="1:9" outlineLevel="1" x14ac:dyDescent="0.25">
      <c r="A235" s="2277">
        <f t="shared" si="4"/>
        <v>78</v>
      </c>
      <c r="B235" s="312" t="str">
        <f t="shared" si="4"/>
        <v>Belastbaar resultaat uit overige werkzaamheden</v>
      </c>
      <c r="C235" s="1335" t="s">
        <v>69</v>
      </c>
      <c r="D235" s="893">
        <f t="shared" si="5"/>
        <v>0</v>
      </c>
      <c r="E235" s="2002">
        <f t="shared" si="0"/>
        <v>0</v>
      </c>
      <c r="F235" s="303">
        <f t="shared" si="6"/>
        <v>0</v>
      </c>
      <c r="G235" s="1278">
        <f t="shared" si="1"/>
        <v>0</v>
      </c>
      <c r="H235" s="1723"/>
      <c r="I235" s="954">
        <v>235</v>
      </c>
    </row>
    <row r="236" spans="1:9" outlineLevel="1" x14ac:dyDescent="0.25">
      <c r="A236" s="2278" t="str">
        <f t="shared" si="4"/>
        <v>79a</v>
      </c>
      <c r="B236" s="272" t="str">
        <f t="shared" si="4"/>
        <v>VEW: Ontvangen hypotheekrente als partneralimentatie</v>
      </c>
      <c r="C236" s="1296" t="s">
        <v>69</v>
      </c>
      <c r="D236" s="2303">
        <f t="shared" si="5"/>
        <v>0</v>
      </c>
      <c r="E236" s="875" t="s">
        <v>754</v>
      </c>
      <c r="F236" s="303">
        <f t="shared" si="6"/>
        <v>0</v>
      </c>
      <c r="G236" s="875" t="s">
        <v>754</v>
      </c>
      <c r="H236" s="1723"/>
      <c r="I236" s="2364">
        <v>236</v>
      </c>
    </row>
    <row r="237" spans="1:9" outlineLevel="1" x14ac:dyDescent="0.25">
      <c r="A237" s="2277">
        <f t="shared" si="4"/>
        <v>81</v>
      </c>
      <c r="B237" s="312" t="str">
        <f t="shared" si="4"/>
        <v>Belastbare periodieke uitkeringen en verstrekkingen</v>
      </c>
      <c r="C237" s="1335" t="s">
        <v>69</v>
      </c>
      <c r="D237" s="897">
        <f>AL81PeriodiekeUitk_AP</f>
        <v>0</v>
      </c>
      <c r="E237" s="1791">
        <f>AL81PeriodiekeUitk_KA_AP</f>
        <v>0</v>
      </c>
      <c r="F237" s="303">
        <f>AL81PeriodiekeUitk_AG</f>
        <v>0</v>
      </c>
      <c r="G237" s="1239">
        <f>AL81PeriodiekeUitk_KA_AG</f>
        <v>0</v>
      </c>
      <c r="H237" s="1724"/>
      <c r="I237" s="954">
        <v>237</v>
      </c>
    </row>
    <row r="238" spans="1:9" outlineLevel="1" x14ac:dyDescent="0.25">
      <c r="A238" s="2277" t="str">
        <f t="shared" si="4"/>
        <v>117a</v>
      </c>
      <c r="B238" s="312" t="str">
        <f t="shared" si="4"/>
        <v>OEW: Eigen Woning Forfait bijdrage ZVW over EWF berekenen over</v>
      </c>
      <c r="C238" s="1335" t="s">
        <v>69</v>
      </c>
      <c r="D238" s="897">
        <f t="shared" ca="1" si="5"/>
        <v>0</v>
      </c>
      <c r="E238" s="1791">
        <f ca="1">D238</f>
        <v>0</v>
      </c>
      <c r="F238" s="303">
        <f t="shared" ca="1" si="6"/>
        <v>0</v>
      </c>
      <c r="G238" s="1239">
        <f ca="1">F238</f>
        <v>0</v>
      </c>
      <c r="H238" s="1792"/>
      <c r="I238" s="954">
        <v>238</v>
      </c>
    </row>
    <row r="239" spans="1:9" ht="15.75" outlineLevel="1" thickBot="1" x14ac:dyDescent="0.3">
      <c r="A239" s="2279" t="str">
        <f t="shared" si="4"/>
        <v>117a</v>
      </c>
      <c r="B239" s="1172" t="str">
        <f t="shared" si="4"/>
        <v>OEW: Rente bijdrage ZVW over de rente berekenen over</v>
      </c>
      <c r="C239" s="1359" t="s">
        <v>69</v>
      </c>
      <c r="D239" s="997">
        <f t="shared" ca="1" si="5"/>
        <v>0</v>
      </c>
      <c r="E239" s="1804">
        <f ca="1">D239</f>
        <v>0</v>
      </c>
      <c r="F239" s="305">
        <f t="shared" ca="1" si="6"/>
        <v>0</v>
      </c>
      <c r="G239" s="2004">
        <f ca="1">F239</f>
        <v>0</v>
      </c>
      <c r="H239" s="1805"/>
      <c r="I239" s="955">
        <v>239</v>
      </c>
    </row>
    <row r="240" spans="1:9" ht="15.75" thickBot="1" x14ac:dyDescent="0.3">
      <c r="A240" s="2307" t="s">
        <v>40</v>
      </c>
      <c r="B240" s="2308" t="s">
        <v>301</v>
      </c>
      <c r="C240" s="2038"/>
      <c r="D240" s="1244">
        <f ca="1">D227+SUM(D230:D239)</f>
        <v>0</v>
      </c>
      <c r="E240" s="1244">
        <f t="shared" ref="E240:G240" ca="1" si="7">E227+SUM(E230:E239)</f>
        <v>0</v>
      </c>
      <c r="F240" s="1244">
        <f t="shared" ca="1" si="7"/>
        <v>0</v>
      </c>
      <c r="G240" s="1244">
        <f t="shared" ca="1" si="7"/>
        <v>0</v>
      </c>
      <c r="H240" s="1761"/>
      <c r="I240" s="2365">
        <v>240</v>
      </c>
    </row>
    <row r="241" spans="1:9" ht="30" outlineLevel="1" x14ac:dyDescent="0.25">
      <c r="A241" s="1426"/>
      <c r="B241" s="83" t="s">
        <v>227</v>
      </c>
      <c r="C241" s="1295"/>
      <c r="D241" s="302">
        <f ca="1">D192+D216+D224-D240</f>
        <v>0</v>
      </c>
      <c r="E241" s="1233">
        <f ca="1">E192+E216+E224-E240</f>
        <v>0</v>
      </c>
      <c r="F241" s="1233">
        <f ca="1">F192+F216+F224-F240</f>
        <v>0</v>
      </c>
      <c r="G241" s="1233">
        <f ca="1">G192+G216+G224-G240</f>
        <v>0</v>
      </c>
      <c r="H241" s="1762" t="s">
        <v>747</v>
      </c>
      <c r="I241" s="28">
        <v>241</v>
      </c>
    </row>
    <row r="242" spans="1:9" ht="30" outlineLevel="1" x14ac:dyDescent="0.25">
      <c r="A242" s="1428"/>
      <c r="B242" s="554" t="s">
        <v>764</v>
      </c>
      <c r="C242" s="1335" t="s">
        <v>69</v>
      </c>
      <c r="D242" s="918">
        <v>0</v>
      </c>
      <c r="E242" s="1293">
        <v>0</v>
      </c>
      <c r="F242" s="918">
        <v>0</v>
      </c>
      <c r="G242" s="1663">
        <v>0</v>
      </c>
      <c r="H242" s="1763" t="s">
        <v>221</v>
      </c>
      <c r="I242" s="66">
        <v>242</v>
      </c>
    </row>
    <row r="243" spans="1:9" ht="15.75" outlineLevel="1" thickBot="1" x14ac:dyDescent="0.3">
      <c r="A243" s="1429"/>
      <c r="B243" s="85" t="s">
        <v>854</v>
      </c>
      <c r="C243" s="1359" t="s">
        <v>69</v>
      </c>
      <c r="D243" s="305">
        <f>D108</f>
        <v>0</v>
      </c>
      <c r="E243" s="897">
        <f>E108</f>
        <v>0</v>
      </c>
      <c r="F243" s="305">
        <f>F108</f>
        <v>0</v>
      </c>
      <c r="G243" s="1239">
        <f>G108</f>
        <v>0</v>
      </c>
      <c r="H243" s="1726"/>
      <c r="I243" s="30">
        <v>243</v>
      </c>
    </row>
    <row r="244" spans="1:9" ht="30.75" thickBot="1" x14ac:dyDescent="0.3">
      <c r="A244" s="1615">
        <v>120</v>
      </c>
      <c r="B244" s="1614" t="s">
        <v>1075</v>
      </c>
      <c r="C244" s="1616"/>
      <c r="D244" s="1705">
        <f ca="1">D241-SUM(D242:D243)</f>
        <v>0</v>
      </c>
      <c r="E244" s="1705">
        <f ca="1">E241-SUM(E242:E243)</f>
        <v>0</v>
      </c>
      <c r="F244" s="1705">
        <f ca="1">F241-SUM(F242:F243)</f>
        <v>0</v>
      </c>
      <c r="G244" s="1705">
        <f ca="1">G241-SUM(G242:G243)</f>
        <v>0</v>
      </c>
      <c r="H244" s="1764" t="s">
        <v>389</v>
      </c>
      <c r="I244" s="2366">
        <v>244</v>
      </c>
    </row>
    <row r="245" spans="1:9" ht="15.75" thickBot="1" x14ac:dyDescent="0.3">
      <c r="A245" s="1615"/>
      <c r="B245" s="1614"/>
      <c r="C245" s="1616"/>
      <c r="D245" s="1705"/>
      <c r="E245" s="1705"/>
      <c r="F245" s="1705"/>
      <c r="G245" s="1705"/>
      <c r="H245" s="1764"/>
      <c r="I245" s="2366">
        <v>245</v>
      </c>
    </row>
    <row r="246" spans="1:9" ht="15.75" thickBot="1" x14ac:dyDescent="0.3">
      <c r="A246" s="176">
        <v>121</v>
      </c>
      <c r="B246" s="177" t="s">
        <v>448</v>
      </c>
      <c r="C246" s="186"/>
      <c r="D246" s="880">
        <f ca="1">D244/12</f>
        <v>0</v>
      </c>
      <c r="E246" s="880">
        <f ca="1">E244/12</f>
        <v>0</v>
      </c>
      <c r="F246" s="880">
        <f ca="1">F244/12</f>
        <v>0</v>
      </c>
      <c r="G246" s="880">
        <f ca="1">(G244/12)</f>
        <v>0</v>
      </c>
      <c r="H246" s="1727" t="s">
        <v>228</v>
      </c>
      <c r="I246" s="584">
        <v>246</v>
      </c>
    </row>
    <row r="247" spans="1:9" ht="15.75" thickBot="1" x14ac:dyDescent="0.3">
      <c r="A247" s="1808"/>
      <c r="B247" s="1809" t="s">
        <v>391</v>
      </c>
      <c r="C247" s="1810"/>
      <c r="D247" s="1811">
        <f ca="1">D246*Basisgegevens!$C222</f>
        <v>0</v>
      </c>
      <c r="E247" s="1812">
        <f ca="1">E246*Basisgegevens!$C222</f>
        <v>0</v>
      </c>
      <c r="F247" s="1811">
        <f ca="1">F246*Basisgegevens!$C222</f>
        <v>0</v>
      </c>
      <c r="G247" s="1813">
        <f ca="1">G246*Basisgegevens!$C222</f>
        <v>0</v>
      </c>
      <c r="H247" s="1814"/>
      <c r="I247" s="2367">
        <v>247</v>
      </c>
    </row>
    <row r="248" spans="1:9" ht="15.75" thickBot="1" x14ac:dyDescent="0.3">
      <c r="A248" s="1819"/>
      <c r="B248" s="112"/>
      <c r="C248" s="1820"/>
      <c r="D248" s="1794"/>
      <c r="E248" s="922"/>
      <c r="F248" s="1794"/>
      <c r="G248" s="922"/>
      <c r="H248" s="1757"/>
      <c r="I248" s="161">
        <v>248</v>
      </c>
    </row>
    <row r="249" spans="1:9" ht="21.75" thickBot="1" x14ac:dyDescent="0.3">
      <c r="A249" s="2406"/>
      <c r="B249" s="2407" t="s">
        <v>303</v>
      </c>
      <c r="C249" s="2408"/>
      <c r="D249" s="2415"/>
      <c r="E249" s="2415"/>
      <c r="F249" s="2409"/>
      <c r="G249" s="2415"/>
      <c r="H249" s="2410"/>
      <c r="I249" s="2413">
        <v>249</v>
      </c>
    </row>
    <row r="250" spans="1:9" ht="16.5" outlineLevel="1" thickBot="1" x14ac:dyDescent="0.3">
      <c r="A250" s="2426"/>
      <c r="B250" s="2430" t="s">
        <v>42</v>
      </c>
      <c r="C250" s="1683"/>
      <c r="D250" s="2431"/>
      <c r="E250" s="2431"/>
      <c r="F250" s="2432"/>
      <c r="G250" s="2431"/>
      <c r="H250" s="2433"/>
      <c r="I250" s="1196">
        <v>250</v>
      </c>
    </row>
    <row r="251" spans="1:9" outlineLevel="1" x14ac:dyDescent="0.25">
      <c r="A251" s="1526">
        <v>122</v>
      </c>
      <c r="B251" s="83" t="s">
        <v>1117</v>
      </c>
      <c r="C251" s="190"/>
      <c r="D251" s="302">
        <f ca="1">Basisgegevens!C234</f>
        <v>1220</v>
      </c>
      <c r="E251" s="995">
        <f ca="1">Basisgegevens!C234</f>
        <v>1220</v>
      </c>
      <c r="F251" s="891">
        <f ca="1">Basisgegevens!D234</f>
        <v>1220</v>
      </c>
      <c r="G251" s="995">
        <f ca="1">Basisgegevens!D234</f>
        <v>1220</v>
      </c>
      <c r="H251" s="1687"/>
      <c r="I251" s="28">
        <v>251</v>
      </c>
    </row>
    <row r="252" spans="1:9" ht="30" customHeight="1" outlineLevel="1" thickBot="1" x14ac:dyDescent="0.3">
      <c r="A252" s="82">
        <v>123</v>
      </c>
      <c r="B252" s="996" t="str">
        <f>"Woonbudget"</f>
        <v>Woonbudget</v>
      </c>
      <c r="C252" s="192" t="s">
        <v>74</v>
      </c>
      <c r="D252" s="1081">
        <f ca="1">IF(BG123VastWoonbudget_AP="Berekenen",BG123WoonbudgetPercentage*D246,BG123VastWoonbudget_AP)</f>
        <v>545</v>
      </c>
      <c r="E252" s="1081">
        <f ca="1">IF(BG123VastWoonbudget_AP="Berekenen",BG123WoonbudgetPercentage*E246,BG123VastWoonbudget_AP)</f>
        <v>545</v>
      </c>
      <c r="F252" s="1081">
        <f ca="1">IF(BG123VastWoonbudget_AG="Berekenen",BG123WoonbudgetPercentage*F246,BG123VastWoonbudget_AG)</f>
        <v>545</v>
      </c>
      <c r="G252" s="1081">
        <f ca="1">IF(BG123VastWoonbudget_AG="Berekenen",BG123WoonbudgetPercentage*G246,BG123VastWoonbudget_AG)</f>
        <v>545</v>
      </c>
      <c r="H252" s="1766" t="str">
        <f>"Bij partner/kinderalimentatie gelden vaste tabelbedragen als het NBI lager is dan € "&amp;Basisgegevens!$E253&amp;" (Werkend) of  € "&amp;Basisgegevens!$E263&amp;" (AOW)"</f>
        <v>Bij partner/kinderalimentatie gelden vaste tabelbedragen als het NBI lager is dan € 2065 (Werkend) of  € 2230 (AOW)</v>
      </c>
      <c r="I252" s="30">
        <v>252</v>
      </c>
    </row>
    <row r="253" spans="1:9" ht="15.75" outlineLevel="1" thickBot="1" x14ac:dyDescent="0.3">
      <c r="A253" s="1881"/>
      <c r="B253" s="1302"/>
      <c r="C253" s="1691"/>
      <c r="D253" s="2434"/>
      <c r="E253" s="2434"/>
      <c r="F253" s="2030"/>
      <c r="G253" s="2434"/>
      <c r="H253" s="2405"/>
      <c r="I253" s="323">
        <v>253</v>
      </c>
    </row>
    <row r="254" spans="1:9" ht="15.75" outlineLevel="1" thickBot="1" x14ac:dyDescent="0.3">
      <c r="A254" s="1709"/>
      <c r="B254" s="2420" t="s">
        <v>1046</v>
      </c>
      <c r="C254" s="1307"/>
      <c r="D254" s="2424"/>
      <c r="E254" s="2424"/>
      <c r="F254" s="2425"/>
      <c r="G254" s="2424"/>
      <c r="H254" s="2423"/>
      <c r="I254" s="2021">
        <v>254</v>
      </c>
    </row>
    <row r="255" spans="1:9" ht="45" customHeight="1" outlineLevel="1" thickBot="1" x14ac:dyDescent="0.3">
      <c r="A255" s="2426">
        <v>123</v>
      </c>
      <c r="B255" s="2427" t="s">
        <v>1076</v>
      </c>
      <c r="C255" s="1683" t="s">
        <v>74</v>
      </c>
      <c r="D255" s="2428">
        <f>Woonlasten_afwijkend!$D46</f>
        <v>0</v>
      </c>
      <c r="E255" s="2428">
        <f>Woonlasten_afwijkend!$D46</f>
        <v>0</v>
      </c>
      <c r="F255" s="2429">
        <f>Woonlasten_afwijkend!$E46</f>
        <v>0</v>
      </c>
      <c r="G255" s="2428">
        <f>Woonlasten_afwijkend!$E46</f>
        <v>0</v>
      </c>
      <c r="H255" s="2414" t="s">
        <v>1077</v>
      </c>
      <c r="I255" s="1196">
        <v>255</v>
      </c>
    </row>
    <row r="256" spans="1:9" ht="15.75" outlineLevel="1" thickBot="1" x14ac:dyDescent="0.3">
      <c r="A256" s="1507"/>
      <c r="B256" s="1997" t="s">
        <v>872</v>
      </c>
      <c r="C256" s="441"/>
      <c r="D256" s="838" t="s">
        <v>107</v>
      </c>
      <c r="E256" s="838" t="s">
        <v>107</v>
      </c>
      <c r="F256" s="670" t="s">
        <v>107</v>
      </c>
      <c r="G256" s="838" t="s">
        <v>107</v>
      </c>
      <c r="H256" s="2402" t="s">
        <v>935</v>
      </c>
      <c r="I256" s="161">
        <v>256</v>
      </c>
    </row>
    <row r="257" spans="1:9" ht="15.75" outlineLevel="1" thickBot="1" x14ac:dyDescent="0.3">
      <c r="A257" s="1881"/>
      <c r="B257" s="1302"/>
      <c r="C257" s="1691"/>
      <c r="D257" s="2418"/>
      <c r="E257" s="2418"/>
      <c r="F257" s="2419"/>
      <c r="G257" s="2418"/>
      <c r="H257" s="2405"/>
      <c r="I257" s="323">
        <v>257</v>
      </c>
    </row>
    <row r="258" spans="1:9" ht="15.75" outlineLevel="1" thickBot="1" x14ac:dyDescent="0.3">
      <c r="A258" s="1709"/>
      <c r="B258" s="2420" t="s">
        <v>1047</v>
      </c>
      <c r="C258" s="1307"/>
      <c r="D258" s="2421"/>
      <c r="E258" s="2421"/>
      <c r="F258" s="2422"/>
      <c r="G258" s="1299"/>
      <c r="H258" s="2423"/>
      <c r="I258" s="2021">
        <v>258</v>
      </c>
    </row>
    <row r="259" spans="1:9" outlineLevel="1" x14ac:dyDescent="0.25">
      <c r="A259" s="1526"/>
      <c r="B259" s="1294" t="str">
        <f>Basisgegevens!B11</f>
        <v>Onderhoudsplichtig &amp; nieuwe partner met eigen inkomen?</v>
      </c>
      <c r="C259" s="190"/>
      <c r="D259" s="995" t="str">
        <f>BGNieuwePartner_AP</f>
        <v>Nee</v>
      </c>
      <c r="E259" s="995" t="str">
        <f>BGNieuwePartner_AP</f>
        <v>Nee</v>
      </c>
      <c r="F259" s="2617" t="s">
        <v>260</v>
      </c>
      <c r="G259" s="2617" t="s">
        <v>260</v>
      </c>
      <c r="H259" s="2614" t="str">
        <f>Basisgegevens!E11</f>
        <v>Bij draagkrachttekort beoordelen of er bij onderhoudsplichtige sprake is van duurzaam en aanmerkelijk lagere werkelijke woonlasten dan de 30% forfait norm. Bij een nieuwe partner draagt deze 50% hiervan!</v>
      </c>
      <c r="I259" s="28">
        <v>259</v>
      </c>
    </row>
    <row r="260" spans="1:9" ht="15.75" outlineLevel="1" thickBot="1" x14ac:dyDescent="0.3">
      <c r="A260" s="150"/>
      <c r="B260" s="1300" t="str">
        <f>Basisgegevens!B12</f>
        <v>Bijdrage van nieuwe partner in de woonlast (50% = norm)</v>
      </c>
      <c r="C260" s="199"/>
      <c r="D260" s="2417">
        <f>BGNieuwePartner_Percentage_AP</f>
        <v>0.5</v>
      </c>
      <c r="E260" s="2417">
        <f>BGNieuwePartner_Percentage_AP</f>
        <v>0.5</v>
      </c>
      <c r="F260" s="2618"/>
      <c r="G260" s="2618"/>
      <c r="H260" s="2615"/>
      <c r="I260" s="166">
        <v>260</v>
      </c>
    </row>
    <row r="261" spans="1:9" ht="15.75" outlineLevel="1" thickBot="1" x14ac:dyDescent="0.3">
      <c r="A261" s="1507"/>
      <c r="B261" s="1997" t="str">
        <f>"Bijdrage nieuwe partner a "&amp;BGNieuwePartner_Percentage_AP*100&amp;"% doorvoeren op de "&amp;IF(D256="Nee","forfaitaire","werkelijke")&amp;"/"&amp;IF(E256="Nee","forfaitaire","werkelijke")&amp;" woonlasten? "</f>
        <v xml:space="preserve">Bijdrage nieuwe partner a 50% doorvoeren op de forfaitaire/forfaitaire woonlasten? </v>
      </c>
      <c r="C261" s="441"/>
      <c r="D261" s="838" t="s">
        <v>107</v>
      </c>
      <c r="E261" s="838" t="s">
        <v>107</v>
      </c>
      <c r="F261" s="2619"/>
      <c r="G261" s="2619"/>
      <c r="H261" s="2616"/>
      <c r="I261" s="161">
        <v>261</v>
      </c>
    </row>
    <row r="262" spans="1:9" ht="15.75" thickBot="1" x14ac:dyDescent="0.3">
      <c r="A262" s="1435">
        <v>123</v>
      </c>
      <c r="B262" s="2411" t="s">
        <v>814</v>
      </c>
      <c r="C262" s="386"/>
      <c r="D262" s="2416">
        <f ca="1">IF(D256="Nee",IF(OR(D259="Nee",D261="Nee"),D252,D252*D260),IF(D261="Nee",Woonlasten_afwijkend!$D46,Woonlasten_afwijkend!$D46*D260))</f>
        <v>545</v>
      </c>
      <c r="E262" s="2416">
        <f ca="1">IF(E256="Nee",IF(OR(E259="Nee",E261="Nee"),E252,E252*E260),IF(E261="Nee",Woonlasten_afwijkend!$D46,Woonlasten_afwijkend!$D46*E260))</f>
        <v>545</v>
      </c>
      <c r="F262" s="925">
        <f ca="1">IF(F256="Nee",F252,Woonlasten_afwijkend!$E46)</f>
        <v>545</v>
      </c>
      <c r="G262" s="2416">
        <f ca="1">IF(G256="Nee",G252,Woonlasten_afwijkend!$E46)</f>
        <v>545</v>
      </c>
      <c r="H262" s="2412"/>
      <c r="I262" s="2365">
        <v>262</v>
      </c>
    </row>
    <row r="263" spans="1:9" outlineLevel="1" x14ac:dyDescent="0.25">
      <c r="A263" s="1930"/>
      <c r="B263" s="1931"/>
      <c r="C263" s="1932"/>
      <c r="D263" s="1933"/>
      <c r="E263" s="1934"/>
      <c r="F263" s="1933"/>
      <c r="G263" s="1934"/>
      <c r="H263" s="1979"/>
      <c r="I263" s="1983">
        <v>263</v>
      </c>
    </row>
    <row r="264" spans="1:9" ht="18.75" outlineLevel="1" x14ac:dyDescent="0.25">
      <c r="A264" s="1941"/>
      <c r="B264" s="2229" t="s">
        <v>1078</v>
      </c>
      <c r="C264" s="1935"/>
      <c r="D264" s="1310"/>
      <c r="E264" s="1936"/>
      <c r="F264" s="1937"/>
      <c r="G264" s="1936"/>
      <c r="H264" s="1980"/>
      <c r="I264" s="1984">
        <v>264</v>
      </c>
    </row>
    <row r="265" spans="1:9" ht="15.75" thickBot="1" x14ac:dyDescent="0.3">
      <c r="A265" s="1938"/>
      <c r="B265" s="1939"/>
      <c r="C265" s="1940"/>
      <c r="D265" s="1780"/>
      <c r="E265" s="1780"/>
      <c r="F265" s="1780"/>
      <c r="G265" s="1780"/>
      <c r="H265" s="1884"/>
      <c r="I265" s="2368">
        <v>265</v>
      </c>
    </row>
    <row r="266" spans="1:9" s="2233" customFormat="1" ht="75.75" outlineLevel="1" thickBot="1" x14ac:dyDescent="0.3">
      <c r="A266" s="1648">
        <v>134</v>
      </c>
      <c r="B266" s="314" t="s">
        <v>50</v>
      </c>
      <c r="C266" s="2230" t="s">
        <v>74</v>
      </c>
      <c r="D266" s="2231">
        <v>0</v>
      </c>
      <c r="E266" s="2393" t="s">
        <v>260</v>
      </c>
      <c r="F266" s="2231">
        <v>0</v>
      </c>
      <c r="G266" s="2393" t="s">
        <v>260</v>
      </c>
      <c r="H266" s="2232" t="s">
        <v>390</v>
      </c>
      <c r="I266" s="2341">
        <v>266</v>
      </c>
    </row>
    <row r="267" spans="1:9" ht="16.5" thickBot="1" x14ac:dyDescent="0.3">
      <c r="A267" s="1435">
        <v>135</v>
      </c>
      <c r="B267" s="1942" t="s">
        <v>316</v>
      </c>
      <c r="C267" s="1928" t="s">
        <v>69</v>
      </c>
      <c r="D267" s="871">
        <f ca="1">D251+D262+D266</f>
        <v>1765</v>
      </c>
      <c r="E267" s="871">
        <f ca="1">E251+E262</f>
        <v>1765</v>
      </c>
      <c r="F267" s="871">
        <f ca="1">F251+F262+F266</f>
        <v>1765</v>
      </c>
      <c r="G267" s="871">
        <f ca="1">G251+G262</f>
        <v>1765</v>
      </c>
      <c r="H267" s="1745" t="s">
        <v>236</v>
      </c>
      <c r="I267" s="2344">
        <v>267</v>
      </c>
    </row>
    <row r="268" spans="1:9" ht="15.75" thickBot="1" x14ac:dyDescent="0.3">
      <c r="A268" s="1819"/>
      <c r="B268" s="112"/>
      <c r="C268" s="1820"/>
      <c r="D268" s="1794"/>
      <c r="E268" s="1859"/>
      <c r="F268" s="1794"/>
      <c r="G268" s="922"/>
      <c r="H268" s="1757"/>
      <c r="I268" s="161">
        <v>268</v>
      </c>
    </row>
    <row r="269" spans="1:9" ht="21.75" thickBot="1" x14ac:dyDescent="0.3">
      <c r="A269" s="1943"/>
      <c r="B269" s="1885" t="s">
        <v>51</v>
      </c>
      <c r="C269" s="1944"/>
      <c r="D269" s="1945"/>
      <c r="E269" s="1946"/>
      <c r="F269" s="1945"/>
      <c r="G269" s="1947"/>
      <c r="H269" s="1948"/>
      <c r="I269" s="1985">
        <v>269</v>
      </c>
    </row>
    <row r="270" spans="1:9" x14ac:dyDescent="0.25">
      <c r="A270" s="1427"/>
      <c r="B270" s="402" t="str">
        <f>B246</f>
        <v>Netto Besteedbaar Inkomen (NBI) per maand:</v>
      </c>
      <c r="C270" s="193"/>
      <c r="D270" s="881">
        <f ca="1">D246</f>
        <v>0</v>
      </c>
      <c r="E270" s="898">
        <f ca="1">E246</f>
        <v>0</v>
      </c>
      <c r="F270" s="881">
        <f ca="1">F246</f>
        <v>0</v>
      </c>
      <c r="G270" s="1233">
        <f ca="1">G246</f>
        <v>0</v>
      </c>
      <c r="H270" s="1746"/>
      <c r="I270" s="67">
        <v>270</v>
      </c>
    </row>
    <row r="271" spans="1:9" ht="15.75" thickBot="1" x14ac:dyDescent="0.3">
      <c r="A271" s="1431"/>
      <c r="B271" s="403" t="str">
        <f>B267</f>
        <v>Draagkrachtloos inkomen:</v>
      </c>
      <c r="C271" s="199"/>
      <c r="D271" s="883">
        <f ca="1">D267</f>
        <v>1765</v>
      </c>
      <c r="E271" s="897">
        <f ca="1">E267</f>
        <v>1765</v>
      </c>
      <c r="F271" s="883">
        <f ca="1">F267</f>
        <v>1765</v>
      </c>
      <c r="G271" s="1239">
        <f ca="1">G267</f>
        <v>1765</v>
      </c>
      <c r="H271" s="1736"/>
      <c r="I271" s="166">
        <v>271</v>
      </c>
    </row>
    <row r="272" spans="1:9" ht="16.5" thickBot="1" x14ac:dyDescent="0.3">
      <c r="A272" s="1448">
        <v>136</v>
      </c>
      <c r="B272" s="1821" t="s">
        <v>317</v>
      </c>
      <c r="C272" s="1787"/>
      <c r="D272" s="1289">
        <f ca="1">D246-D267</f>
        <v>-1765</v>
      </c>
      <c r="E272" s="1949">
        <f ca="1">E246-E267</f>
        <v>-1765</v>
      </c>
      <c r="F272" s="1289">
        <f ca="1">F246-F267</f>
        <v>-1765</v>
      </c>
      <c r="G272" s="1801">
        <f ca="1">G246-G267</f>
        <v>-1765</v>
      </c>
      <c r="H272" s="1823" t="s">
        <v>237</v>
      </c>
      <c r="I272" s="2342">
        <v>272</v>
      </c>
    </row>
    <row r="273" spans="1:9" ht="15.75" outlineLevel="1" thickBot="1" x14ac:dyDescent="0.3">
      <c r="A273" s="1865"/>
      <c r="B273" s="1857"/>
      <c r="C273" s="1858"/>
      <c r="D273" s="1950" t="str">
        <f ca="1">IF(D272&lt;=0,"Geen Draagkrachteruimte","")</f>
        <v>Geen Draagkrachteruimte</v>
      </c>
      <c r="E273" s="1859"/>
      <c r="F273" s="1950" t="str">
        <f ca="1">IF(F272&lt;=0,"Geen Draagkrachteruimte","")</f>
        <v>Geen Draagkrachteruimte</v>
      </c>
      <c r="G273" s="1859"/>
      <c r="H273" s="1757"/>
      <c r="I273" s="1982">
        <v>273</v>
      </c>
    </row>
    <row r="274" spans="1:9" ht="60" customHeight="1" outlineLevel="1" thickBot="1" x14ac:dyDescent="0.3">
      <c r="A274" s="1311"/>
      <c r="B274" s="1951" t="s">
        <v>568</v>
      </c>
      <c r="C274" s="185"/>
      <c r="D274" s="1952">
        <f>Basisgegevens!$C$227</f>
        <v>0.6</v>
      </c>
      <c r="E274" s="1953">
        <f>Basisgegevens!$E$227</f>
        <v>0.7</v>
      </c>
      <c r="F274" s="1952">
        <f>Basisgegevens!$D$227</f>
        <v>0.6</v>
      </c>
      <c r="G274" s="1954">
        <f>Basisgegevens!$E$227</f>
        <v>0.7</v>
      </c>
      <c r="H274" s="91" t="str">
        <f>"Draagkrachtpercentage = "&amp;Basisgegevens!C227*100&amp;"% bijeen alleenstaande onderhouds-plichtige of 45% bij onderhoudsplichtige met een (nieuw) gezin. Voor kinderalimentatie is dit "&amp;Basisgegevens!E227*100&amp;"%). LET OP: 'Gezin' kan (soms) ruimer worden opgevat: Een alleenstaande met kind(eren) is dan ook een gezin."</f>
        <v>Draagkrachtpercentage = 60% bijeen alleenstaande onderhouds-plichtige of 45% bij onderhoudsplichtige met een (nieuw) gezin. Voor kinderalimentatie is dit 70%). LET OP: 'Gezin' kan (soms) ruimer worden opgevat: Een alleenstaande met kind(eren) is dan ook een gezin.</v>
      </c>
      <c r="I274" s="323">
        <v>274</v>
      </c>
    </row>
    <row r="275" spans="1:9" ht="15.75" outlineLevel="1" thickBot="1" x14ac:dyDescent="0.3">
      <c r="A275" s="1825"/>
      <c r="B275" s="1747"/>
      <c r="C275" s="1826"/>
      <c r="D275" s="1900"/>
      <c r="E275" s="1956"/>
      <c r="F275" s="1900"/>
      <c r="G275" s="1956"/>
      <c r="H275" s="1747"/>
      <c r="I275" s="1196">
        <v>275</v>
      </c>
    </row>
    <row r="276" spans="1:9" ht="21.75" outlineLevel="1" thickBot="1" x14ac:dyDescent="0.3">
      <c r="A276" s="1992"/>
      <c r="B276" s="1906" t="s">
        <v>57</v>
      </c>
      <c r="C276" s="1993"/>
      <c r="D276" s="1994"/>
      <c r="E276" s="1995"/>
      <c r="F276" s="1994"/>
      <c r="G276" s="1995"/>
      <c r="H276" s="1996"/>
      <c r="I276" s="2339">
        <v>276</v>
      </c>
    </row>
    <row r="277" spans="1:9" ht="30" customHeight="1" outlineLevel="1" x14ac:dyDescent="0.25">
      <c r="A277" s="1427">
        <v>137</v>
      </c>
      <c r="B277" s="1955" t="s">
        <v>261</v>
      </c>
      <c r="C277" s="193" t="s">
        <v>74</v>
      </c>
      <c r="D277" s="881">
        <f ca="1">D274*D272</f>
        <v>-1059</v>
      </c>
      <c r="E277" s="1233">
        <f ca="1">IF(Basisgegevens!C233&gt;0.01,Basisgegevens!C233,E272*E274)</f>
        <v>-1235.5</v>
      </c>
      <c r="F277" s="881">
        <f ca="1">F274*F272</f>
        <v>-1059</v>
      </c>
      <c r="G277" s="1233">
        <f ca="1">IF(Basisgegevens!D233&gt;0.01,Basisgegevens!D233,G272*G274)</f>
        <v>-1235.5</v>
      </c>
      <c r="H277" s="1746" t="str">
        <f>"Als het NBI onder de draagkracht komt a € "&amp;Basisgegevens!$E253&amp;" (Werkend) of  € "&amp;Basisgegevens!$E263&amp;" (AOW) dan geldt het bedrag uit de draagkrachttabel"</f>
        <v>Als het NBI onder de draagkracht komt a € 2065 (Werkend) of  € 2230 (AOW) dan geldt het bedrag uit de draagkrachttabel</v>
      </c>
      <c r="I277" s="67">
        <v>277</v>
      </c>
    </row>
    <row r="278" spans="1:9" outlineLevel="1" x14ac:dyDescent="0.25">
      <c r="A278" s="1428" t="s">
        <v>501</v>
      </c>
      <c r="B278" s="103" t="s">
        <v>1079</v>
      </c>
      <c r="C278" s="191" t="s">
        <v>69</v>
      </c>
      <c r="D278" s="304">
        <v>0</v>
      </c>
      <c r="E278" s="1264">
        <f>D278</f>
        <v>0</v>
      </c>
      <c r="F278" s="304">
        <v>0</v>
      </c>
      <c r="G278" s="1264">
        <f>F278</f>
        <v>0</v>
      </c>
      <c r="H278" s="1735"/>
      <c r="I278" s="66">
        <v>278</v>
      </c>
    </row>
    <row r="279" spans="1:9" ht="30" outlineLevel="1" x14ac:dyDescent="0.25">
      <c r="A279" s="1428">
        <v>138</v>
      </c>
      <c r="B279" s="84" t="s">
        <v>52</v>
      </c>
      <c r="C279" s="191" t="s">
        <v>69</v>
      </c>
      <c r="D279" s="304">
        <v>0</v>
      </c>
      <c r="E279" s="2656" t="s">
        <v>260</v>
      </c>
      <c r="F279" s="304">
        <v>0</v>
      </c>
      <c r="G279" s="2656" t="s">
        <v>260</v>
      </c>
      <c r="H279" s="1735" t="s">
        <v>238</v>
      </c>
      <c r="I279" s="66">
        <v>279</v>
      </c>
    </row>
    <row r="280" spans="1:9" ht="30" outlineLevel="1" x14ac:dyDescent="0.25">
      <c r="A280" s="1431">
        <v>138</v>
      </c>
      <c r="B280" s="94" t="str">
        <f>CONCATENATE("VEW: Hypotheekrente betaald voor ",Basisgegevens!D$4," (= Kolom E) / ",Basisgegevens!C$4," (= Kolom G)")</f>
        <v>VEW: Hypotheekrente betaald voor Alimentatie Gerechtigd (= Kolom E) / Alimentatie Plichtig (= Kolom G)</v>
      </c>
      <c r="C280" s="191" t="s">
        <v>69</v>
      </c>
      <c r="D280" s="883">
        <f>Basisgegevens!E200</f>
        <v>0</v>
      </c>
      <c r="E280" s="2656"/>
      <c r="F280" s="883">
        <f>Basisgegevens!F201</f>
        <v>0</v>
      </c>
      <c r="G280" s="2656"/>
      <c r="H280" s="1736"/>
      <c r="I280" s="166">
        <v>280</v>
      </c>
    </row>
    <row r="281" spans="1:9" ht="30" outlineLevel="1" x14ac:dyDescent="0.25">
      <c r="A281" s="1431">
        <v>138</v>
      </c>
      <c r="B281" s="94" t="str">
        <f>CONCATENATE("VEW: Hypotheekaflossing betaald voor ",Basisgegevens!D$4," (= Kolom E) / ",Basisgegevens!C$4," (= Kolom G)")</f>
        <v>VEW: Hypotheekaflossing betaald voor Alimentatie Gerechtigd (= Kolom E) / Alimentatie Plichtig (= Kolom G)</v>
      </c>
      <c r="C281" s="191" t="s">
        <v>69</v>
      </c>
      <c r="D281" s="883">
        <f>Basisgegevens!E203</f>
        <v>0</v>
      </c>
      <c r="E281" s="2656"/>
      <c r="F281" s="883">
        <f>Basisgegevens!F204</f>
        <v>0</v>
      </c>
      <c r="G281" s="2656"/>
      <c r="H281" s="1736"/>
      <c r="I281" s="166">
        <v>281</v>
      </c>
    </row>
    <row r="282" spans="1:9" outlineLevel="1" x14ac:dyDescent="0.25">
      <c r="A282" s="1431">
        <f>Basisgegevens!L192</f>
        <v>138</v>
      </c>
      <c r="B282" s="94" t="str">
        <f>"OEW: Hypotheek"&amp;LOWER(Basisgegevens!M192)</f>
        <v>OEW: Hypotheekrente betaald voor ex. partner als partneralimentatie</v>
      </c>
      <c r="C282" s="191" t="s">
        <v>69</v>
      </c>
      <c r="D282" s="883">
        <f>IF(BGOEWRekenModule="Nee",0,BGOEW138RentePA_AP/12)</f>
        <v>0</v>
      </c>
      <c r="E282" s="2656"/>
      <c r="F282" s="883">
        <f>IF(BGOEWRekenModule="Nee",0,BGOEW138RentePA_AG/12)</f>
        <v>0</v>
      </c>
      <c r="G282" s="2656"/>
      <c r="H282" s="1736"/>
      <c r="I282" s="166">
        <v>282</v>
      </c>
    </row>
    <row r="283" spans="1:9" outlineLevel="1" x14ac:dyDescent="0.25">
      <c r="A283" s="1431">
        <v>138</v>
      </c>
      <c r="B283" s="94" t="s">
        <v>1080</v>
      </c>
      <c r="C283" s="191" t="s">
        <v>69</v>
      </c>
      <c r="D283" s="883">
        <f>IF(BGOEWRekenModule="Nee",0,IF(AND(BGOEWRekenModule="Ja",BGOEWAflossing=BGPartner_AP),Basisgegevens!C173/2+Basisgegevens!F186,IF(AND(BGOEWRekenModule="Ja",BGOEWAflossing=Keuzelijsten!$R$4),Basisgegevens!F186,0)))</f>
        <v>0</v>
      </c>
      <c r="E283" s="2656"/>
      <c r="F283" s="883">
        <f>IF(BGOEWRekenModule="Nee",0,IF(AND(BGOEWRekenModule="Ja",BGOEWAflossing=BGPartner_AG),Basisgegevens!C173/2+Basisgegevens!E186,IF(AND(BGOEWRekenModule="Ja",BGOEWAflossing=Keuzelijsten!$R$4),Basisgegevens!E186,0)))</f>
        <v>0</v>
      </c>
      <c r="G283" s="2656"/>
      <c r="H283" s="1736"/>
      <c r="I283" s="166">
        <v>283</v>
      </c>
    </row>
    <row r="284" spans="1:9" ht="30.75" outlineLevel="1" thickBot="1" x14ac:dyDescent="0.3">
      <c r="A284" s="1431">
        <v>139</v>
      </c>
      <c r="B284" s="404" t="s">
        <v>570</v>
      </c>
      <c r="C284" s="199" t="s">
        <v>74</v>
      </c>
      <c r="D284" s="883">
        <f>IF(D279+D282=0,0,IF(AL94VerzInkomen_AP+((D279+D282)*12)-BGBelastingbedragSchijf3&lt;=0,(((D279+D282)*12)*Basisgegevens!$O$16)/12,IF(AL94VerzInkomen_AP+((D279+D282)*12)&lt;BGBelastingbedragSchijf3+((D279+D282)*12),(((BGBelastingbedragSchijf3-AL94VerzInkomen_AP)*Basisgegevens!$O$16)+((AL94VerzInkomen_AP+((D279+D282)*12)-BGBelastingbedragSchijf3)*BGBelastingTariefBeperking))/12,(D279+D282)*BGBelastingTariefBeperking)))</f>
        <v>0</v>
      </c>
      <c r="E284" s="2657"/>
      <c r="F284" s="883">
        <f>IF(F279+F282=0,0,IF(AL94VerzInkomen_AG+((F279+F282)*12)-BGBelastingbedragSchijf3&lt;=0,(((F279+F282)*12)*Basisgegevens!$O$16)/12,IF(AL94VerzInkomen_AG+((F279+F282)*12)&lt;BGBelastingbedragSchijf3+((F279+F282)*12),(((BGBelastingbedragSchijf3-AL94VerzInkomen_AG)*Basisgegevens!$O$16)+((AL94VerzInkomen_AG+((F279+F282)*12)-BGBelastingbedragSchijf3)*BGBelastingTariefBeperking))/12, (F279+F282)*BGBelastingTariefBeperking)))</f>
        <v>0</v>
      </c>
      <c r="G284" s="2658"/>
      <c r="H284" s="1736" t="s">
        <v>398</v>
      </c>
      <c r="I284" s="166">
        <v>284</v>
      </c>
    </row>
    <row r="285" spans="1:9" ht="63" customHeight="1" thickBot="1" x14ac:dyDescent="0.3">
      <c r="A285" s="1448">
        <v>140</v>
      </c>
      <c r="B285" s="1304" t="s">
        <v>816</v>
      </c>
      <c r="C285" s="1787"/>
      <c r="D285" s="1289">
        <f ca="1">IF(D277-SUM(D278:D283)+D284&lt;=0.01,0,D277-SUM(D278:D283)+D284)</f>
        <v>0</v>
      </c>
      <c r="E285" s="1801">
        <f ca="1">IF(E277&lt;=0.01,IF(Basisgegevens!$D$211&gt;0,0,Basisgegevens!$D$233),E277-E278)</f>
        <v>0</v>
      </c>
      <c r="F285" s="1289">
        <f ca="1">IF(F277-SUM(F278:F283)+F284&lt;=0.01,0,F277-SUM(F278:F283)+F284)</f>
        <v>0</v>
      </c>
      <c r="G285" s="1801">
        <f ca="1">IF(G277&lt;=0.01,IF(Basisgegevens!$D$211&gt;0,0,Basisgegevens!$D$233),G277-G278)</f>
        <v>0</v>
      </c>
      <c r="H285" s="1802" t="s">
        <v>855</v>
      </c>
      <c r="I285" s="2342">
        <v>285</v>
      </c>
    </row>
    <row r="286" spans="1:9" ht="15.75" thickBot="1" x14ac:dyDescent="0.3">
      <c r="A286" s="1819"/>
      <c r="B286" s="112"/>
      <c r="C286" s="1820"/>
      <c r="D286" s="456" t="str">
        <f ca="1">IF(D285&lt;=0,"Geen PA beschikbaar","")</f>
        <v>Geen PA beschikbaar</v>
      </c>
      <c r="E286" s="456" t="str">
        <f ca="1">IF(E285&lt;=0,"Geen kA beschikbaar","")</f>
        <v>Geen kA beschikbaar</v>
      </c>
      <c r="F286" s="456" t="str">
        <f ca="1">IF(F285&lt;=0,"Geen PA beschikbaar","")</f>
        <v>Geen PA beschikbaar</v>
      </c>
      <c r="G286" s="456" t="str">
        <f ca="1">IF(G285&lt;=0,"Geen kA beschikbaar","")</f>
        <v>Geen kA beschikbaar</v>
      </c>
      <c r="H286" s="1757"/>
      <c r="I286" s="161">
        <v>286</v>
      </c>
    </row>
    <row r="287" spans="1:9" ht="21.75" thickBot="1" x14ac:dyDescent="0.3">
      <c r="A287" s="1957"/>
      <c r="B287" s="1885" t="s">
        <v>3</v>
      </c>
      <c r="C287" s="1958"/>
      <c r="D287" s="1959"/>
      <c r="E287" s="1960"/>
      <c r="F287" s="1959"/>
      <c r="G287" s="1961"/>
      <c r="H287" s="1962"/>
      <c r="I287" s="2362">
        <v>287</v>
      </c>
    </row>
    <row r="288" spans="1:9" outlineLevel="1" x14ac:dyDescent="0.25">
      <c r="A288" s="1453">
        <v>141</v>
      </c>
      <c r="B288" s="1536" t="s">
        <v>4</v>
      </c>
      <c r="C288" s="193" t="s">
        <v>69</v>
      </c>
      <c r="D288" s="1165">
        <f>IF(Kinderalimentatie!O41&lt;0,0,Kinderalimentatie!O41)</f>
        <v>0</v>
      </c>
      <c r="E288" s="1537"/>
      <c r="F288" s="1165">
        <f>IF(Kinderalimentatie!S41&lt;0,0,Kinderalimentatie!S41)</f>
        <v>0</v>
      </c>
      <c r="G288" s="1538"/>
      <c r="H288" s="1767" t="s">
        <v>311</v>
      </c>
      <c r="I288" s="1775">
        <v>288</v>
      </c>
    </row>
    <row r="289" spans="1:9" outlineLevel="1" x14ac:dyDescent="0.25">
      <c r="A289" s="1451" t="s">
        <v>503</v>
      </c>
      <c r="B289" s="90" t="s">
        <v>86</v>
      </c>
      <c r="C289" s="205"/>
      <c r="D289" s="874">
        <f>IF(Kinderalimentatie!O41&lt;0,Kinderalimentatie!O41+Kinderalimentatie!N41,Kinderalimentatie!N41)</f>
        <v>0</v>
      </c>
      <c r="E289" s="1265"/>
      <c r="F289" s="874">
        <f>IF(Kinderalimentatie!S41&lt;0,Kinderalimentatie!S41+Kinderalimentatie!R41,Kinderalimentatie!R41)</f>
        <v>0</v>
      </c>
      <c r="G289" s="1279"/>
      <c r="H289" s="1735"/>
      <c r="I289" s="1776">
        <v>289</v>
      </c>
    </row>
    <row r="290" spans="1:9" ht="15.75" outlineLevel="1" thickBot="1" x14ac:dyDescent="0.3">
      <c r="A290" s="1454" t="s">
        <v>502</v>
      </c>
      <c r="B290" s="404" t="s">
        <v>87</v>
      </c>
      <c r="C290" s="199"/>
      <c r="D290" s="1273">
        <f>IF(Kinderalimentatie!O41&lt;0,0,Kinderalimentatie!P41)</f>
        <v>0</v>
      </c>
      <c r="E290" s="1266"/>
      <c r="F290" s="1273">
        <f>IF(Kinderalimentatie!S41&lt;0,0,Kinderalimentatie!T41)</f>
        <v>0</v>
      </c>
      <c r="G290" s="1280"/>
      <c r="H290" s="1736"/>
      <c r="I290" s="1777">
        <v>290</v>
      </c>
    </row>
    <row r="291" spans="1:9" ht="16.5" thickBot="1" x14ac:dyDescent="0.3">
      <c r="A291" s="1452">
        <v>141</v>
      </c>
      <c r="B291" s="180" t="s">
        <v>574</v>
      </c>
      <c r="C291" s="198"/>
      <c r="D291" s="868">
        <f>SUM(D288:D290)</f>
        <v>0</v>
      </c>
      <c r="E291" s="920"/>
      <c r="F291" s="868">
        <f>SUM(F288:F290)</f>
        <v>0</v>
      </c>
      <c r="G291" s="1171"/>
      <c r="H291" s="1768"/>
      <c r="I291" s="1778">
        <v>291</v>
      </c>
    </row>
    <row r="292" spans="1:9" ht="15.75" outlineLevel="1" thickBot="1" x14ac:dyDescent="0.3">
      <c r="A292" s="1431" t="s">
        <v>504</v>
      </c>
      <c r="B292" s="1963" t="s">
        <v>1079</v>
      </c>
      <c r="C292" s="199"/>
      <c r="D292" s="916">
        <v>0</v>
      </c>
      <c r="E292" s="904" t="s">
        <v>260</v>
      </c>
      <c r="F292" s="916">
        <v>0</v>
      </c>
      <c r="G292" s="904" t="s">
        <v>260</v>
      </c>
      <c r="H292" s="1736"/>
      <c r="I292" s="166">
        <v>292</v>
      </c>
    </row>
    <row r="293" spans="1:9" ht="15.75" outlineLevel="1" thickBot="1" x14ac:dyDescent="0.3">
      <c r="A293" s="1865"/>
      <c r="B293" s="1857"/>
      <c r="C293" s="1679"/>
      <c r="D293" s="1859"/>
      <c r="E293" s="1859"/>
      <c r="F293" s="1859"/>
      <c r="G293" s="1859"/>
      <c r="H293" s="1757"/>
      <c r="I293" s="1982">
        <v>293</v>
      </c>
    </row>
    <row r="294" spans="1:9" ht="15.75" outlineLevel="1" thickBot="1" x14ac:dyDescent="0.3">
      <c r="A294" s="1964">
        <v>142</v>
      </c>
      <c r="B294" s="1965" t="s">
        <v>53</v>
      </c>
      <c r="C294" s="1966"/>
      <c r="D294" s="1967">
        <v>0</v>
      </c>
      <c r="E294" s="1968">
        <v>0</v>
      </c>
      <c r="F294" s="1967">
        <v>0</v>
      </c>
      <c r="G294" s="1969">
        <v>0</v>
      </c>
      <c r="H294" s="1970" t="s">
        <v>221</v>
      </c>
      <c r="I294" s="2369">
        <v>294</v>
      </c>
    </row>
    <row r="295" spans="1:9" ht="16.5" thickBot="1" x14ac:dyDescent="0.3">
      <c r="A295" s="1448">
        <v>143</v>
      </c>
      <c r="B295" s="1304" t="s">
        <v>1081</v>
      </c>
      <c r="C295" s="1787"/>
      <c r="D295" s="1289">
        <f ca="1">D285-D291-D292</f>
        <v>0</v>
      </c>
      <c r="E295" s="1929"/>
      <c r="F295" s="1289">
        <f ca="1">F285-F291-F292</f>
        <v>0</v>
      </c>
      <c r="G295" s="1281"/>
      <c r="H295" s="1971" t="s">
        <v>239</v>
      </c>
      <c r="I295" s="2342">
        <v>295</v>
      </c>
    </row>
    <row r="296" spans="1:9" ht="16.5" thickBot="1" x14ac:dyDescent="0.3">
      <c r="A296" s="1825"/>
      <c r="B296" s="1973"/>
      <c r="C296" s="1826"/>
      <c r="D296" s="456" t="str">
        <f ca="1">IF(D295&lt;=0,"Geen PA beschikbaar","--")</f>
        <v>Geen PA beschikbaar</v>
      </c>
      <c r="E296" s="1167"/>
      <c r="F296" s="456" t="str">
        <f ca="1">IF(F295&lt;=0,"Geen PA beschikbaar","--")</f>
        <v>Geen PA beschikbaar</v>
      </c>
      <c r="G296" s="1167"/>
      <c r="H296" s="1833"/>
      <c r="I296" s="1196">
        <v>296</v>
      </c>
    </row>
    <row r="297" spans="1:9" ht="16.5" thickBot="1" x14ac:dyDescent="0.3">
      <c r="A297" s="1828"/>
      <c r="B297" s="1974"/>
      <c r="C297" s="1830"/>
      <c r="D297" s="1831"/>
      <c r="E297" s="1831"/>
      <c r="F297" s="1831"/>
      <c r="G297" s="1831"/>
      <c r="H297" s="1733"/>
      <c r="I297" s="349">
        <v>297</v>
      </c>
    </row>
    <row r="298" spans="1:9" ht="19.5" thickBot="1" x14ac:dyDescent="0.3">
      <c r="A298" s="2005"/>
      <c r="B298" s="2006" t="s">
        <v>370</v>
      </c>
      <c r="C298" s="1852"/>
      <c r="D298" s="1919"/>
      <c r="E298" s="1870"/>
      <c r="F298" s="1290"/>
      <c r="G298" s="1282"/>
      <c r="H298" s="1972"/>
      <c r="I298" s="2370">
        <v>298</v>
      </c>
    </row>
    <row r="299" spans="1:9" ht="15.75" x14ac:dyDescent="0.25">
      <c r="A299" s="1426"/>
      <c r="B299" s="405" t="str">
        <f>B129</f>
        <v>Belastbaar verzamelinkomen uit werk en woning (a t/m h) (Box I):</v>
      </c>
      <c r="C299" s="203"/>
      <c r="D299" s="302">
        <f>D129</f>
        <v>0</v>
      </c>
      <c r="E299" s="1267"/>
      <c r="F299" s="302">
        <f>F129</f>
        <v>0</v>
      </c>
      <c r="G299" s="1283"/>
      <c r="H299" s="1728"/>
      <c r="I299" s="28">
        <v>299</v>
      </c>
    </row>
    <row r="300" spans="1:9" ht="16.5" thickBot="1" x14ac:dyDescent="0.3">
      <c r="A300" s="1431"/>
      <c r="B300" s="407" t="str">
        <f>B134</f>
        <v>Inkomensheffing Box 1:</v>
      </c>
      <c r="C300" s="151"/>
      <c r="D300" s="883">
        <f>D134</f>
        <v>0</v>
      </c>
      <c r="E300" s="1268"/>
      <c r="F300" s="883">
        <f>F130</f>
        <v>0</v>
      </c>
      <c r="G300" s="1284"/>
      <c r="H300" s="1729"/>
      <c r="I300" s="166">
        <v>300</v>
      </c>
    </row>
    <row r="301" spans="1:9" ht="16.5" thickBot="1" x14ac:dyDescent="0.3">
      <c r="A301" s="1430"/>
      <c r="B301" s="178" t="s">
        <v>368</v>
      </c>
      <c r="C301" s="186"/>
      <c r="D301" s="880">
        <f>D299-D300</f>
        <v>0</v>
      </c>
      <c r="E301" s="483"/>
      <c r="F301" s="1289">
        <f>F299-F300</f>
        <v>0</v>
      </c>
      <c r="G301" s="1285"/>
      <c r="H301" s="1768"/>
      <c r="I301" s="584">
        <v>301</v>
      </c>
    </row>
    <row r="302" spans="1:9" ht="32.25" thickBot="1" x14ac:dyDescent="0.3">
      <c r="A302" s="1432"/>
      <c r="B302" s="680" t="str">
        <f ca="1">CONCATENATE("Is het belastbaar inkomen minus de inkomensheffing (a € ",ROUND(D301,0),") lager is dan de in 143 (a € ",ROUND((D295),0),") berekende alimentatie?")</f>
        <v>Is het belastbaar inkomen minus de inkomensheffing (a € 0) lager is dan de in 143 (a € 0) berekende alimentatie?</v>
      </c>
      <c r="C302" s="195"/>
      <c r="D302" s="1274" t="str">
        <f ca="1">IF(D295&lt;=0,"n.v.t",IF(D301&gt;D295,"Loopt via 144","Loopt via 145/146"))</f>
        <v>n.v.t</v>
      </c>
      <c r="E302" s="1269"/>
      <c r="F302" s="1274" t="str">
        <f ca="1">IF(F295&lt;=0,"n.v.t",IF(F301&gt;F295,"Loopt via 144","Loopt via 145/146"))</f>
        <v>n.v.t</v>
      </c>
      <c r="G302" s="1286"/>
      <c r="H302" s="1770"/>
      <c r="I302" s="161">
        <v>302</v>
      </c>
    </row>
    <row r="303" spans="1:9" ht="15.75" x14ac:dyDescent="0.25">
      <c r="A303" s="1427">
        <v>144</v>
      </c>
      <c r="B303" s="678" t="s">
        <v>449</v>
      </c>
      <c r="C303" s="679" t="s">
        <v>70</v>
      </c>
      <c r="D303" s="1275">
        <f ca="1">IF(OR(LEFT(D302,2)="Ja",D302="n.v.t"),0,Basisgegevens!F370/12)</f>
        <v>0</v>
      </c>
      <c r="E303" s="1263"/>
      <c r="F303" s="1275">
        <f ca="1">IF(OR(LEFT(F302,2)="Ja",F302="n.v.t"),0,Basisgegevens!F393/12)</f>
        <v>0</v>
      </c>
      <c r="G303" s="1283"/>
      <c r="H303" s="1771"/>
      <c r="I303" s="67">
        <v>303</v>
      </c>
    </row>
    <row r="304" spans="1:9" ht="15.75" x14ac:dyDescent="0.25">
      <c r="A304" s="1428"/>
      <c r="B304" s="677" t="s">
        <v>450</v>
      </c>
      <c r="C304" s="675" t="s">
        <v>70</v>
      </c>
      <c r="D304" s="1276">
        <f ca="1">IF(OR(LEFT(D302,2)="Ja",D302="n.v.t"),0,Basisgegevens!F370)</f>
        <v>0</v>
      </c>
      <c r="E304" s="1270"/>
      <c r="F304" s="1276">
        <f ca="1">IF(OR(LEFT(F302,2)="Ja",F302="n.v.t"),0,Basisgegevens!F393)</f>
        <v>0</v>
      </c>
      <c r="G304" s="1287"/>
      <c r="H304" s="1772"/>
      <c r="I304" s="66">
        <v>304</v>
      </c>
    </row>
    <row r="305" spans="1:9" ht="15.75" thickBot="1" x14ac:dyDescent="0.3">
      <c r="A305" s="1429"/>
      <c r="B305" s="676" t="s">
        <v>365</v>
      </c>
      <c r="C305" s="406"/>
      <c r="D305" s="1277" t="str">
        <f ca="1">IF(OR(LEFT(D302,2)="Ja",D302="n.v.t"),"Zelf te berekenen","n.v.t")</f>
        <v>Zelf te berekenen</v>
      </c>
      <c r="E305" s="1271"/>
      <c r="F305" s="1277" t="str">
        <f ca="1">IF(OR(LEFT(F302,2)="Ja",F302="n.v.t"),"Zelf te berekenen","n.v.t")</f>
        <v>Zelf te berekenen</v>
      </c>
      <c r="G305" s="1288"/>
      <c r="H305" s="1773"/>
      <c r="I305" s="30">
        <v>305</v>
      </c>
    </row>
    <row r="649" spans="1:9" x14ac:dyDescent="0.25">
      <c r="A649" s="81">
        <v>145</v>
      </c>
      <c r="B649" s="296" t="s">
        <v>365</v>
      </c>
      <c r="C649" s="80"/>
      <c r="D649" s="113"/>
      <c r="E649" s="365"/>
      <c r="F649" s="368"/>
      <c r="G649" s="369"/>
      <c r="H649" s="375"/>
      <c r="I649" s="29">
        <v>257</v>
      </c>
    </row>
    <row r="650" spans="1:9" x14ac:dyDescent="0.25">
      <c r="A650" s="81"/>
      <c r="B650" s="290" t="s">
        <v>366</v>
      </c>
      <c r="C650" s="286" t="s">
        <v>74</v>
      </c>
      <c r="D650" s="98">
        <f ca="1">IF(D295&lt;=0,0,D295)</f>
        <v>0</v>
      </c>
      <c r="E650" s="365"/>
      <c r="F650" s="368"/>
      <c r="G650" s="369"/>
      <c r="H650" s="375"/>
      <c r="I650" s="29">
        <v>258</v>
      </c>
    </row>
    <row r="651" spans="1:9" ht="16.5" thickBot="1" x14ac:dyDescent="0.3">
      <c r="A651" s="150"/>
      <c r="B651" s="407" t="str">
        <f>B134</f>
        <v>Inkomensheffing Box 1:</v>
      </c>
      <c r="C651" s="408" t="s">
        <v>74</v>
      </c>
      <c r="D651" s="318">
        <f>D300</f>
        <v>0</v>
      </c>
      <c r="E651" s="409"/>
      <c r="F651" s="389"/>
      <c r="G651" s="410"/>
      <c r="H651" s="390"/>
      <c r="I651" s="164">
        <v>259</v>
      </c>
    </row>
    <row r="652" spans="1:9" ht="16.5" thickBot="1" x14ac:dyDescent="0.3">
      <c r="A652" s="176"/>
      <c r="B652" s="178" t="s">
        <v>367</v>
      </c>
      <c r="C652" s="412" t="s">
        <v>74</v>
      </c>
      <c r="D652" s="413"/>
      <c r="E652" s="395">
        <f ca="1">SUM(D650:D651)</f>
        <v>0</v>
      </c>
      <c r="F652" s="382"/>
      <c r="G652" s="396"/>
      <c r="H652" s="400"/>
      <c r="I652" s="2328">
        <v>260</v>
      </c>
    </row>
    <row r="653" spans="1:9" x14ac:dyDescent="0.25">
      <c r="A653" s="92"/>
      <c r="B653" s="411"/>
      <c r="C653" s="298"/>
      <c r="D653" s="299"/>
      <c r="E653" s="392"/>
      <c r="F653" s="384"/>
      <c r="G653" s="393"/>
      <c r="H653" s="383"/>
      <c r="I653" s="69">
        <v>261</v>
      </c>
    </row>
    <row r="654" spans="1:9" x14ac:dyDescent="0.25">
      <c r="A654" s="81"/>
      <c r="B654" s="89"/>
      <c r="C654" s="80"/>
      <c r="D654" s="113"/>
      <c r="E654" s="365"/>
      <c r="F654" s="368"/>
      <c r="G654" s="369"/>
      <c r="H654" s="375"/>
      <c r="I654" s="29">
        <v>262</v>
      </c>
    </row>
    <row r="655" spans="1:9" x14ac:dyDescent="0.25">
      <c r="A655" s="81"/>
      <c r="B655" s="295" t="str">
        <f>B650</f>
        <v>Netto alimentatie per jaar:</v>
      </c>
      <c r="C655" s="291" t="s">
        <v>74</v>
      </c>
      <c r="D655" s="113"/>
      <c r="E655" s="373">
        <f ca="1">D650</f>
        <v>0</v>
      </c>
      <c r="F655" s="368"/>
      <c r="G655" s="369"/>
      <c r="H655" s="375"/>
      <c r="I655" s="29">
        <v>263</v>
      </c>
    </row>
    <row r="656" spans="1:9" x14ac:dyDescent="0.25">
      <c r="A656" s="81"/>
      <c r="B656" s="295" t="str">
        <f>B299</f>
        <v>Belastbaar verzamelinkomen uit werk en woning (a t/m h) (Box I):</v>
      </c>
      <c r="C656" s="80"/>
      <c r="D656" s="98">
        <f>D299</f>
        <v>0</v>
      </c>
      <c r="E656" s="365"/>
      <c r="F656" s="368"/>
      <c r="G656" s="369"/>
      <c r="H656" s="375"/>
      <c r="I656" s="29">
        <v>264</v>
      </c>
    </row>
    <row r="657" spans="1:9" x14ac:dyDescent="0.25">
      <c r="A657" s="81"/>
      <c r="B657" s="295" t="str">
        <f>B300</f>
        <v>Inkomensheffing Box 1:</v>
      </c>
      <c r="C657" s="286" t="s">
        <v>69</v>
      </c>
      <c r="D657" s="98">
        <f>D300</f>
        <v>0</v>
      </c>
      <c r="E657" s="365"/>
      <c r="F657" s="368"/>
      <c r="G657" s="369"/>
      <c r="H657" s="375"/>
      <c r="I657" s="29">
        <v>265</v>
      </c>
    </row>
    <row r="658" spans="1:9" ht="15.75" x14ac:dyDescent="0.25">
      <c r="A658" s="360"/>
      <c r="B658" s="294" t="str">
        <f>B301</f>
        <v xml:space="preserve">Na aftrek inkomensheffing BOX I: </v>
      </c>
      <c r="C658" s="292"/>
      <c r="D658" s="293"/>
      <c r="E658" s="371">
        <f>D301</f>
        <v>0</v>
      </c>
      <c r="F658" s="367"/>
      <c r="G658" s="370"/>
      <c r="H658" s="377"/>
      <c r="I658" s="2329">
        <v>266</v>
      </c>
    </row>
    <row r="659" spans="1:9" x14ac:dyDescent="0.25">
      <c r="A659" s="81"/>
      <c r="B659" s="290"/>
      <c r="C659" s="80"/>
      <c r="D659" s="319" t="s">
        <v>369</v>
      </c>
      <c r="E659" s="372">
        <f ca="1">E655-E658</f>
        <v>0</v>
      </c>
      <c r="F659" s="368"/>
      <c r="G659" s="369"/>
      <c r="H659" s="375"/>
      <c r="I659" s="29">
        <v>267</v>
      </c>
    </row>
    <row r="660" spans="1:9" x14ac:dyDescent="0.25">
      <c r="A660" s="81"/>
      <c r="B660" s="2642" t="str">
        <f>"Verschil delen door "&amp;(1-BGTariefBox3)&amp;" (= tarief BOX III)"</f>
        <v>Verschil delen door 0,64 (= tarief BOX III)</v>
      </c>
      <c r="C660" s="2643"/>
      <c r="D660" s="2643"/>
      <c r="E660" s="372">
        <f ca="1">E659/(1-BGTariefBox3)</f>
        <v>0</v>
      </c>
      <c r="F660" s="368"/>
      <c r="G660" s="369"/>
      <c r="H660" s="375"/>
      <c r="I660" s="29">
        <v>268</v>
      </c>
    </row>
    <row r="661" spans="1:9" x14ac:dyDescent="0.25">
      <c r="A661" s="360"/>
      <c r="B661" s="2644" t="str">
        <f ca="1">CONCATENATE("Als het VERSCHIL  a € ",ROUND(E660,0)," LAGER is dan het belastbaar inkomen box III a € ",ROUND(D175,0)," dan ",(BGTariefBox3*100),"% van dit bedrag:")</f>
        <v>Als het VERSCHIL  a € 0 LAGER is dan het belastbaar inkomen box III a € 0 dan 36% van dit bedrag:</v>
      </c>
      <c r="C661" s="2645"/>
      <c r="D661" s="2645"/>
      <c r="E661" s="371" t="str">
        <f ca="1">IF(E660&lt;D175,E660*BGTariefBox3,"zie 146")</f>
        <v>zie 146</v>
      </c>
      <c r="F661" s="368"/>
      <c r="G661" s="369"/>
      <c r="H661" s="375"/>
      <c r="I661" s="2329">
        <v>269</v>
      </c>
    </row>
    <row r="662" spans="1:9" x14ac:dyDescent="0.25">
      <c r="A662" s="81"/>
      <c r="B662" s="84"/>
      <c r="C662" s="80"/>
      <c r="D662" s="113"/>
      <c r="E662" s="365"/>
      <c r="F662" s="368"/>
      <c r="G662" s="369"/>
      <c r="H662" s="375"/>
      <c r="I662" s="29">
        <v>270</v>
      </c>
    </row>
    <row r="663" spans="1:9" ht="17.25" x14ac:dyDescent="0.25">
      <c r="A663" s="81"/>
      <c r="B663" s="2646" t="str">
        <f>"Als het VERSCHIL hierboven HOGER is dan het belastbaar inkomen box III a € "&amp;ROUND(D175,0)&amp;" dan "&amp;(BGTariefBox3*100)&amp;"% van dit bedrag:"</f>
        <v>Als het VERSCHIL hierboven HOGER is dan het belastbaar inkomen box III a € 0 dan 36% van dit bedrag:</v>
      </c>
      <c r="C663" s="2647"/>
      <c r="D663" s="2647"/>
      <c r="E663" s="365"/>
      <c r="F663" s="368"/>
      <c r="G663" s="369"/>
      <c r="H663" s="375"/>
      <c r="I663" s="29">
        <v>271</v>
      </c>
    </row>
    <row r="664" spans="1:9" x14ac:dyDescent="0.25">
      <c r="A664" s="81">
        <v>146</v>
      </c>
      <c r="B664" s="295" t="str">
        <f>B176</f>
        <v>Inkomstebelasting (vast tarief 36%) box III:</v>
      </c>
      <c r="C664" s="286" t="s">
        <v>69</v>
      </c>
      <c r="D664" s="113"/>
      <c r="E664" s="372">
        <f>D176</f>
        <v>0</v>
      </c>
      <c r="F664" s="368"/>
      <c r="G664" s="369"/>
      <c r="H664" s="375"/>
      <c r="I664" s="29">
        <v>272</v>
      </c>
    </row>
    <row r="665" spans="1:9" x14ac:dyDescent="0.25">
      <c r="A665" s="81"/>
      <c r="B665" s="290" t="s">
        <v>371</v>
      </c>
      <c r="C665" s="80"/>
      <c r="D665" s="98">
        <f ca="1">E659</f>
        <v>0</v>
      </c>
      <c r="E665" s="365"/>
      <c r="F665" s="368"/>
      <c r="G665" s="369"/>
      <c r="H665" s="375"/>
      <c r="I665" s="29">
        <v>273</v>
      </c>
    </row>
    <row r="666" spans="1:9" x14ac:dyDescent="0.25">
      <c r="A666" s="81"/>
      <c r="B666" s="295" t="str">
        <f>B175</f>
        <v>Belastbaar inkomen uit sparen en beleggen (Box III):</v>
      </c>
      <c r="C666" s="80"/>
      <c r="D666" s="98">
        <f>D175</f>
        <v>0</v>
      </c>
      <c r="E666" s="365"/>
      <c r="F666" s="368"/>
      <c r="G666" s="369"/>
      <c r="H666" s="375"/>
      <c r="I666" s="29">
        <v>274</v>
      </c>
    </row>
    <row r="667" spans="1:9" x14ac:dyDescent="0.25">
      <c r="A667" s="81"/>
      <c r="B667" s="297" t="str">
        <f>B176</f>
        <v>Inkomstebelasting (vast tarief 36%) box III:</v>
      </c>
      <c r="C667" s="80"/>
      <c r="D667" s="98">
        <f>D176</f>
        <v>0</v>
      </c>
      <c r="E667" s="365"/>
      <c r="F667" s="368"/>
      <c r="G667" s="369"/>
      <c r="H667" s="375"/>
      <c r="I667" s="29">
        <v>275</v>
      </c>
    </row>
    <row r="668" spans="1:9" ht="15.75" x14ac:dyDescent="0.25">
      <c r="A668" s="360"/>
      <c r="B668" s="294" t="s">
        <v>372</v>
      </c>
      <c r="C668" s="292"/>
      <c r="D668" s="293"/>
      <c r="E668" s="371">
        <f>D666-D667</f>
        <v>0</v>
      </c>
      <c r="F668" s="368"/>
      <c r="G668" s="369"/>
      <c r="H668" s="375"/>
      <c r="I668" s="2329">
        <v>276</v>
      </c>
    </row>
    <row r="669" spans="1:9" x14ac:dyDescent="0.25">
      <c r="A669" s="81"/>
      <c r="B669" s="84"/>
      <c r="C669" s="80"/>
      <c r="D669" s="113"/>
      <c r="E669" s="365"/>
      <c r="F669" s="368"/>
      <c r="G669" s="369"/>
      <c r="H669" s="375"/>
      <c r="I669" s="29">
        <v>277</v>
      </c>
    </row>
    <row r="670" spans="1:9" x14ac:dyDescent="0.25">
      <c r="A670" s="81"/>
      <c r="B670" s="290"/>
      <c r="C670" s="80"/>
      <c r="D670" s="113"/>
      <c r="E670" s="365"/>
      <c r="F670" s="368"/>
      <c r="G670" s="369"/>
      <c r="H670" s="375"/>
      <c r="I670" s="29">
        <v>278</v>
      </c>
    </row>
    <row r="671" spans="1:9" ht="15.75" thickBot="1" x14ac:dyDescent="0.3">
      <c r="A671" s="82"/>
      <c r="B671" s="361"/>
      <c r="C671" s="362"/>
      <c r="D671" s="363"/>
      <c r="E671" s="374"/>
      <c r="F671" s="379"/>
      <c r="G671" s="380"/>
      <c r="H671" s="378"/>
      <c r="I671" s="31">
        <v>279</v>
      </c>
    </row>
  </sheetData>
  <sheetProtection algorithmName="SHA-512" hashValue="atUVq2UMPFlKPjRHpl6QB5BILYsn9Tt+D9mi/CkbgvXWV/xVd+wog37uo/SA4sxdICHff+l2GOvjbd7do6h5/Q==" saltValue="p8MSEXJ1W4TSDuVyDUcnMw==" spinCount="100000" sheet="1" autoFilter="0"/>
  <protectedRanges>
    <protectedRange sqref="E31 G31" name="AP AG 051a NettoPensioen"/>
    <protectedRange sqref="D18 F18" name="AP AG 049 Overig Inkomen"/>
    <protectedRange sqref="D292 F292" name="AP AG 141c Onderhoud"/>
    <protectedRange sqref="D278:D279 F278:F279" name="AP AG 137 138 Onderhoud"/>
    <protectedRange sqref="F266 D266" name="AP AG 128 134 Kosten en schulden"/>
    <protectedRange sqref="D223 F223" name="AP AG 119a Heffingskorting"/>
    <protectedRange sqref="D216 F216 D219 F219" name="AP AG 118 119a Bonnen Netto inkomsten"/>
    <protectedRange sqref="D189 F189" name="AP AG 115 Andere kortingen"/>
    <protectedRange sqref="D174 F174" name="AP AG 110 Pers Geb aftrek"/>
    <protectedRange sqref="D170 F170" name="AP AG 107 Toeslagen"/>
    <protectedRange sqref="D158:D159 F158:F159 D163 F163" name="AP AG 104 Rendement"/>
    <protectedRange sqref="F151:F154 D151:D154" name="AP AG 102 Inkomsten"/>
    <protectedRange sqref="D142 D145 F142 F145" name="AP AG 096 099 Voordelen Pers gebonden aftrek"/>
    <protectedRange sqref="D113 F113" name="AP AG 091 Uitgaven"/>
    <protectedRange sqref="D105:D106 F105:F106" name="AP AG 086 087 Premies"/>
    <protectedRange sqref="D83 F83" name="AP AG 079 Uitkeringen"/>
    <protectedRange sqref="D78:D79 F78:F79" name="AP AG 076 077 Overig Werk"/>
    <protectedRange sqref="D73 F73" name="AP AG 074 Stakingsaftrek"/>
    <protectedRange sqref="D59:D60 D62:D63 D65 F59:F60 F62:F63 F65" name="AP AG 065 070 Winst uit onderneming"/>
    <protectedRange sqref="D54 F54" name="AP AG 062 Reisaftrek"/>
    <protectedRange sqref="D13 F13" name="AP AG 041 DGA"/>
    <protectedRange sqref="D256:G256 D261:E261" name="AP AG 123 Werk.Woonlast"/>
  </protectedRanges>
  <autoFilter ref="A2:H330" xr:uid="{00000000-0009-0000-0000-000001000000}"/>
  <mergeCells count="31">
    <mergeCell ref="B660:D660"/>
    <mergeCell ref="B661:D661"/>
    <mergeCell ref="B663:D663"/>
    <mergeCell ref="E59:E65"/>
    <mergeCell ref="G59:G65"/>
    <mergeCell ref="E78:E79"/>
    <mergeCell ref="G78:G79"/>
    <mergeCell ref="E69:E74"/>
    <mergeCell ref="G69:G74"/>
    <mergeCell ref="G105:G107"/>
    <mergeCell ref="E105:E107"/>
    <mergeCell ref="G94:G101"/>
    <mergeCell ref="E94:E101"/>
    <mergeCell ref="E279:E284"/>
    <mergeCell ref="G279:G284"/>
    <mergeCell ref="E6:E13"/>
    <mergeCell ref="G6:G13"/>
    <mergeCell ref="E15:E20"/>
    <mergeCell ref="G15:G20"/>
    <mergeCell ref="H47:H49"/>
    <mergeCell ref="E24:E26"/>
    <mergeCell ref="G24:G26"/>
    <mergeCell ref="E37:E38"/>
    <mergeCell ref="G37:G38"/>
    <mergeCell ref="E32:E33"/>
    <mergeCell ref="G32:G33"/>
    <mergeCell ref="H259:H261"/>
    <mergeCell ref="F259:F261"/>
    <mergeCell ref="G259:G261"/>
    <mergeCell ref="E53:E55"/>
    <mergeCell ref="G53:G55"/>
  </mergeCells>
  <conditionalFormatting sqref="C3 C150:C264">
    <cfRule type="cellIs" dxfId="139" priority="9" operator="equal">
      <formula>"-"</formula>
    </cfRule>
    <cfRule type="cellIs" dxfId="138" priority="10" operator="equal">
      <formula>"+"</formula>
    </cfRule>
  </conditionalFormatting>
  <conditionalFormatting sqref="C6:C118">
    <cfRule type="cellIs" dxfId="137" priority="1" operator="equal">
      <formula>"-"</formula>
    </cfRule>
    <cfRule type="cellIs" dxfId="136" priority="2" operator="equal">
      <formula>"+"</formula>
    </cfRule>
  </conditionalFormatting>
  <conditionalFormatting sqref="C122 C129:C148 C302:C303">
    <cfRule type="cellIs" dxfId="135" priority="54" operator="equal">
      <formula>"-"</formula>
    </cfRule>
    <cfRule type="cellIs" dxfId="134" priority="55" operator="equal">
      <formula>"+"</formula>
    </cfRule>
  </conditionalFormatting>
  <conditionalFormatting sqref="C266:C295">
    <cfRule type="cellIs" dxfId="133" priority="23" operator="equal">
      <formula>"-"</formula>
    </cfRule>
    <cfRule type="cellIs" dxfId="132" priority="24" operator="equal">
      <formula>"+"</formula>
    </cfRule>
  </conditionalFormatting>
  <conditionalFormatting sqref="C657">
    <cfRule type="cellIs" dxfId="131" priority="31" operator="equal">
      <formula>"-"</formula>
    </cfRule>
    <cfRule type="cellIs" dxfId="130" priority="32" operator="equal">
      <formula>"+"</formula>
    </cfRule>
  </conditionalFormatting>
  <conditionalFormatting sqref="C664">
    <cfRule type="cellIs" dxfId="129" priority="29" operator="equal">
      <formula>"-"</formula>
    </cfRule>
    <cfRule type="cellIs" dxfId="128" priority="30" operator="equal">
      <formula>"+"</formula>
    </cfRule>
  </conditionalFormatting>
  <conditionalFormatting sqref="D295 F295">
    <cfRule type="cellIs" dxfId="127" priority="44" operator="lessThanOrEqual">
      <formula>0</formula>
    </cfRule>
  </conditionalFormatting>
  <conditionalFormatting sqref="D296">
    <cfRule type="expression" dxfId="126" priority="27">
      <formula>D$295&lt;=0</formula>
    </cfRule>
  </conditionalFormatting>
  <conditionalFormatting sqref="D191:G191">
    <cfRule type="cellIs" dxfId="125" priority="43" operator="lessThan">
      <formula>0</formula>
    </cfRule>
  </conditionalFormatting>
  <conditionalFormatting sqref="D272:G285">
    <cfRule type="cellIs" dxfId="124" priority="45" operator="lessThan">
      <formula>0</formula>
    </cfRule>
  </conditionalFormatting>
  <conditionalFormatting sqref="D277:G277">
    <cfRule type="cellIs" dxfId="123" priority="38" operator="lessThanOrEqual">
      <formula>0</formula>
    </cfRule>
  </conditionalFormatting>
  <conditionalFormatting sqref="D286:G286">
    <cfRule type="expression" dxfId="122" priority="40">
      <formula>D$285&lt;=0</formula>
    </cfRule>
  </conditionalFormatting>
  <conditionalFormatting sqref="F296">
    <cfRule type="expression" dxfId="120" priority="33">
      <formula>F$295&lt;=0</formula>
    </cfRule>
  </conditionalFormatting>
  <pageMargins left="0.7" right="0.7" top="0.75" bottom="0.75" header="0.3" footer="0.3"/>
  <pageSetup paperSize="9" orientation="portrait" horizontalDpi="4294967293" r:id="rId1"/>
  <ignoredErrors>
    <ignoredError sqref="F274 E44 E56 D119:D121 D123 D126:D128 F119:F121 F185:F188 E66 E80 E86 E108 E181 E171 G171 F126:F128 F123:F124" formula="1"/>
  </ignoredErrors>
  <extLst>
    <ext xmlns:x14="http://schemas.microsoft.com/office/spreadsheetml/2009/9/main" uri="{78C0D931-6437-407d-A8EE-F0AAD7539E65}">
      <x14:conditionalFormattings>
        <x14:conditionalFormatting xmlns:xm="http://schemas.microsoft.com/office/excel/2006/main">
          <x14:cfRule type="expression" priority="2932" id="{CA640FAA-F6F0-4877-BBB2-6F7E3F0F339F}">
            <xm:f>AND($E$31&lt;&gt;0,$D$12&lt;=Basisgegevens!$C$215)</xm:f>
            <x14:dxf>
              <fill>
                <patternFill>
                  <bgColor rgb="FFFF0000"/>
                </patternFill>
              </fill>
            </x14:dxf>
          </x14:cfRule>
          <xm:sqref>E31</xm:sqref>
        </x14:conditionalFormatting>
        <x14:conditionalFormatting xmlns:xm="http://schemas.microsoft.com/office/excel/2006/main">
          <x14:cfRule type="expression" priority="2933" id="{8901AFFA-B757-40C7-87DB-157B3E925CBD}">
            <xm:f>AND($G$31&lt;&gt;0,$F$12&lt;=Basisgegevens!$C$215)</xm:f>
            <x14:dxf>
              <fill>
                <patternFill>
                  <bgColor rgb="FFFF0000"/>
                </patternFill>
              </fill>
            </x14:dxf>
          </x14:cfRule>
          <xm:sqref>G31</xm:sqref>
        </x14:conditionalFormatting>
      </x14:conditionalFormattings>
    </ext>
    <ext xmlns:x14="http://schemas.microsoft.com/office/spreadsheetml/2009/9/main" uri="{CCE6A557-97BC-4b89-ADB6-D9C93CAAB3DF}">
      <x14:dataValidations xmlns:xm="http://schemas.microsoft.com/office/excel/2006/main" disablePrompts="1" xWindow="647" yWindow="673" count="1">
        <x14:dataValidation type="list" showInputMessage="1" showErrorMessage="1" errorTitle="Fout" error="Er is een foutive waarde ingevoerd" promptTitle="Ja / Nee" prompt="Vul Ja of Nee in" xr:uid="{2D470EB0-94F9-4107-AE4B-0E429F410F5F}">
          <x14:formula1>
            <xm:f>Keuzelijsten!$G$2:$G$3</xm:f>
          </x14:formula1>
          <xm:sqref>D13:D14 F13:F14 D261:E261 D259:E259 D256:G256</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AF393"/>
  <sheetViews>
    <sheetView showGridLines="0" tabSelected="1" zoomScale="80" zoomScaleNormal="80" workbookViewId="0">
      <selection activeCell="C4" sqref="C4"/>
    </sheetView>
  </sheetViews>
  <sheetFormatPr defaultColWidth="8.85546875" defaultRowHeight="15" x14ac:dyDescent="0.25"/>
  <cols>
    <col min="1" max="1" width="9.28515625" style="18" bestFit="1" customWidth="1"/>
    <col min="2" max="2" width="58.7109375" style="52" customWidth="1"/>
    <col min="3" max="4" width="22.7109375" style="21" customWidth="1"/>
    <col min="5" max="5" width="22.7109375" style="2" customWidth="1"/>
    <col min="6" max="6" width="21.7109375" style="2" customWidth="1"/>
    <col min="7" max="10" width="17.7109375" style="2" customWidth="1"/>
    <col min="11" max="11" width="5.7109375" style="2" customWidth="1"/>
    <col min="12" max="12" width="8.7109375" style="2" customWidth="1"/>
    <col min="13" max="13" width="25.7109375" style="18" customWidth="1"/>
    <col min="14" max="14" width="22.7109375" style="18" customWidth="1"/>
    <col min="15" max="15" width="16.7109375" style="18" customWidth="1"/>
    <col min="16" max="18" width="22.7109375" style="18" customWidth="1"/>
    <col min="19" max="19" width="60.7109375" style="2" customWidth="1"/>
    <col min="20" max="26" width="22.7109375" style="2" customWidth="1"/>
    <col min="27" max="31" width="20.7109375" style="2" customWidth="1"/>
    <col min="32" max="32" width="2.7109375" style="2" customWidth="1"/>
    <col min="33" max="16384" width="8.85546875" style="2"/>
  </cols>
  <sheetData>
    <row r="1" spans="1:32" ht="20.25" thickBot="1" x14ac:dyDescent="0.3">
      <c r="A1" s="828"/>
      <c r="B1" s="829" t="s">
        <v>410</v>
      </c>
      <c r="C1" s="830"/>
      <c r="D1" s="830"/>
      <c r="E1" s="831"/>
      <c r="F1" s="831"/>
      <c r="G1" s="831"/>
      <c r="H1" s="831"/>
      <c r="I1" s="847" t="s">
        <v>595</v>
      </c>
      <c r="J1" s="832"/>
      <c r="AF1" s="2267"/>
    </row>
    <row r="2" spans="1:32" ht="20.25" thickBot="1" x14ac:dyDescent="0.3">
      <c r="A2" s="454"/>
      <c r="B2" s="455"/>
      <c r="C2" s="9" t="s">
        <v>1069</v>
      </c>
      <c r="D2" s="1557" t="s">
        <v>1070</v>
      </c>
      <c r="E2" s="455"/>
      <c r="F2" s="455"/>
      <c r="L2" s="75" t="s">
        <v>202</v>
      </c>
      <c r="T2" s="1323" t="str">
        <f>P179</f>
        <v>--</v>
      </c>
      <c r="U2" s="1324" t="str">
        <f>Q179</f>
        <v>--</v>
      </c>
      <c r="V2" s="2669" t="s">
        <v>490</v>
      </c>
      <c r="W2" s="2670"/>
      <c r="X2" s="2659" t="s">
        <v>474</v>
      </c>
      <c r="Y2" s="2660"/>
      <c r="Z2" s="2669" t="s">
        <v>915</v>
      </c>
      <c r="AA2" s="2670"/>
      <c r="AE2" s="328" t="s">
        <v>968</v>
      </c>
      <c r="AF2" s="2267"/>
    </row>
    <row r="3" spans="1:32" ht="15.75" thickBot="1" x14ac:dyDescent="0.3">
      <c r="A3" s="9" t="s">
        <v>240</v>
      </c>
      <c r="B3" s="145" t="s">
        <v>89</v>
      </c>
      <c r="C3" s="43" t="s">
        <v>427</v>
      </c>
      <c r="D3" s="43" t="s">
        <v>426</v>
      </c>
      <c r="E3" s="2772" t="s">
        <v>208</v>
      </c>
      <c r="F3" s="2773"/>
      <c r="G3" s="2773"/>
      <c r="H3" s="2773"/>
      <c r="I3" s="2773"/>
      <c r="J3" s="2774"/>
      <c r="N3" s="22" t="str">
        <f>BGPartner_AP</f>
        <v>Alimentatie Plichtig</v>
      </c>
      <c r="R3" s="22" t="str">
        <f>BGPartner_AG</f>
        <v>Alimentatie Gerechtigd</v>
      </c>
      <c r="T3" s="22" t="str">
        <f>BGPartner_AP</f>
        <v>Alimentatie Plichtig</v>
      </c>
      <c r="U3" s="22" t="str">
        <f>BGPartner_AG</f>
        <v>Alimentatie Gerechtigd</v>
      </c>
      <c r="V3" s="22" t="str">
        <f>BGPartner_AP</f>
        <v>Alimentatie Plichtig</v>
      </c>
      <c r="W3" s="22" t="str">
        <f>BGPartner_AG</f>
        <v>Alimentatie Gerechtigd</v>
      </c>
      <c r="X3" s="2667" t="str">
        <f>BGPartner_AG</f>
        <v>Alimentatie Gerechtigd</v>
      </c>
      <c r="Y3" s="2668"/>
      <c r="Z3" s="22" t="str">
        <f>BGPartner_AP</f>
        <v>Alimentatie Plichtig</v>
      </c>
      <c r="AA3" s="22" t="str">
        <f>BGPartner_AG</f>
        <v>Alimentatie Gerechtigd</v>
      </c>
      <c r="AF3" s="2267"/>
    </row>
    <row r="4" spans="1:32" ht="15.75" thickBot="1" x14ac:dyDescent="0.3">
      <c r="A4" s="28" t="s">
        <v>510</v>
      </c>
      <c r="B4" s="2262" t="s">
        <v>90</v>
      </c>
      <c r="C4" s="96" t="s">
        <v>1124</v>
      </c>
      <c r="D4" s="96" t="s">
        <v>1125</v>
      </c>
      <c r="E4" s="2735" t="s">
        <v>1007</v>
      </c>
      <c r="F4" s="2736"/>
      <c r="G4" s="2736"/>
      <c r="H4" s="2736"/>
      <c r="I4" s="2736"/>
      <c r="J4" s="2737"/>
      <c r="L4" s="2723" t="s">
        <v>192</v>
      </c>
      <c r="M4" s="2761"/>
      <c r="N4" s="415">
        <f>AL94VerzInkomen_AP</f>
        <v>0</v>
      </c>
      <c r="O4" s="19" t="s">
        <v>193</v>
      </c>
      <c r="P4" s="2723" t="s">
        <v>192</v>
      </c>
      <c r="Q4" s="2761"/>
      <c r="R4" s="510">
        <f>AL94VerzInkomen_AG</f>
        <v>0</v>
      </c>
      <c r="S4" s="328" t="s">
        <v>424</v>
      </c>
      <c r="T4" s="653">
        <f>'Alimentatie 2024-02'!E129-AL94VerzInkomen_AP</f>
        <v>0</v>
      </c>
      <c r="U4" s="653">
        <f>'Alimentatie 2024-02'!G129-AL94VerzInkomen_AG</f>
        <v>0</v>
      </c>
      <c r="V4" s="542" t="s">
        <v>495</v>
      </c>
      <c r="W4" s="542" t="s">
        <v>495</v>
      </c>
      <c r="X4" s="1358" t="s">
        <v>477</v>
      </c>
      <c r="Y4" s="1409"/>
      <c r="Z4" s="542" t="s">
        <v>917</v>
      </c>
      <c r="AA4" s="542" t="s">
        <v>917</v>
      </c>
      <c r="AC4" s="773"/>
      <c r="AF4" s="2267"/>
    </row>
    <row r="5" spans="1:32" ht="15" customHeight="1" thickBot="1" x14ac:dyDescent="0.3">
      <c r="A5" s="66" t="s">
        <v>511</v>
      </c>
      <c r="B5" s="991" t="s">
        <v>104</v>
      </c>
      <c r="C5" s="836">
        <v>28440</v>
      </c>
      <c r="D5" s="836">
        <v>28440</v>
      </c>
      <c r="E5" s="2738"/>
      <c r="F5" s="2739"/>
      <c r="G5" s="2739"/>
      <c r="H5" s="2739"/>
      <c r="I5" s="2739"/>
      <c r="J5" s="2740"/>
      <c r="K5" s="21"/>
      <c r="L5" s="2753" t="s">
        <v>585</v>
      </c>
      <c r="M5" s="2754"/>
      <c r="N5" s="651">
        <f>YEAR($C$9)</f>
        <v>2049</v>
      </c>
      <c r="P5" s="2753" t="s">
        <v>585</v>
      </c>
      <c r="Q5" s="2754"/>
      <c r="R5" s="649">
        <f>YEAR($D$9)</f>
        <v>2049</v>
      </c>
      <c r="S5" s="328" t="s">
        <v>443</v>
      </c>
      <c r="T5" s="1384">
        <f>AL94VerzInkomen_AP+T4</f>
        <v>0</v>
      </c>
      <c r="U5" s="1384">
        <f>R4+U4</f>
        <v>0</v>
      </c>
      <c r="V5" s="1384">
        <f>Jusvergelijking!C57</f>
        <v>0</v>
      </c>
      <c r="W5" s="1384">
        <f>Jusvergelijking!E57</f>
        <v>0</v>
      </c>
      <c r="X5" s="1659">
        <f ca="1">Behoefteberekening!F67</f>
        <v>0</v>
      </c>
      <c r="Y5" s="1410"/>
      <c r="Z5" s="1384">
        <f>AL94VerzInkomen_AP+AL85InkomstenEW_AP</f>
        <v>0</v>
      </c>
      <c r="AA5" s="1384">
        <f>AL94VerzInkomen_AG+AL85InkomstenEW_AG</f>
        <v>0</v>
      </c>
      <c r="AC5" s="773"/>
      <c r="AF5" s="2267"/>
    </row>
    <row r="6" spans="1:32" ht="15.75" thickBot="1" x14ac:dyDescent="0.3">
      <c r="A6" s="66" t="s">
        <v>512</v>
      </c>
      <c r="B6" s="991" t="s">
        <v>415</v>
      </c>
      <c r="C6" s="648">
        <f>YEAR($C$16-(C$5-2))-1900</f>
        <v>46</v>
      </c>
      <c r="D6" s="648">
        <f>YEAR($C$16-(D$5-2))-1900</f>
        <v>46</v>
      </c>
      <c r="E6" s="2738" t="s">
        <v>666</v>
      </c>
      <c r="F6" s="2739"/>
      <c r="G6" s="2739"/>
      <c r="H6" s="2739"/>
      <c r="I6" s="2739"/>
      <c r="J6" s="2740"/>
      <c r="L6" s="2755" t="s">
        <v>586</v>
      </c>
      <c r="M6" s="2756"/>
      <c r="N6" s="652">
        <f>BGJaarBerekening</f>
        <v>2024</v>
      </c>
      <c r="P6" s="2755" t="s">
        <v>586</v>
      </c>
      <c r="Q6" s="2756"/>
      <c r="R6" s="650">
        <f>BGJaarBerekening</f>
        <v>2024</v>
      </c>
      <c r="S6" s="331"/>
      <c r="T6" s="2671" t="s">
        <v>258</v>
      </c>
      <c r="U6" s="2671" t="s">
        <v>258</v>
      </c>
      <c r="V6" s="2671" t="s">
        <v>786</v>
      </c>
      <c r="W6" s="2671" t="s">
        <v>786</v>
      </c>
      <c r="X6" s="2665" t="s">
        <v>475</v>
      </c>
      <c r="Y6" s="2661" t="s">
        <v>476</v>
      </c>
      <c r="Z6" s="2671" t="s">
        <v>786</v>
      </c>
      <c r="AA6" s="2671" t="s">
        <v>786</v>
      </c>
      <c r="AF6" s="2267"/>
    </row>
    <row r="7" spans="1:32" ht="15.75" thickBot="1" x14ac:dyDescent="0.3">
      <c r="A7" s="66" t="s">
        <v>513</v>
      </c>
      <c r="B7" s="991" t="s">
        <v>144</v>
      </c>
      <c r="C7" s="97" t="s">
        <v>106</v>
      </c>
      <c r="D7" s="97" t="s">
        <v>106</v>
      </c>
      <c r="E7" s="2738" t="s">
        <v>667</v>
      </c>
      <c r="F7" s="2739"/>
      <c r="G7" s="2739"/>
      <c r="H7" s="2739"/>
      <c r="I7" s="2739"/>
      <c r="J7" s="2740"/>
      <c r="L7" s="73" t="s">
        <v>183</v>
      </c>
      <c r="M7" s="74" t="s">
        <v>199</v>
      </c>
      <c r="N7" s="2762" t="s">
        <v>111</v>
      </c>
      <c r="O7" s="2763"/>
      <c r="P7" s="2763"/>
      <c r="Q7" s="72" t="s">
        <v>199</v>
      </c>
      <c r="R7" s="2766" t="s">
        <v>111</v>
      </c>
      <c r="S7" s="2767"/>
      <c r="T7" s="2671"/>
      <c r="U7" s="2673"/>
      <c r="V7" s="2671"/>
      <c r="W7" s="2671"/>
      <c r="X7" s="2666"/>
      <c r="Y7" s="2662"/>
      <c r="Z7" s="2671"/>
      <c r="AA7" s="2671"/>
      <c r="AF7" s="2267"/>
    </row>
    <row r="8" spans="1:32" x14ac:dyDescent="0.25">
      <c r="A8" s="66" t="s">
        <v>514</v>
      </c>
      <c r="B8" s="991" t="s">
        <v>662</v>
      </c>
      <c r="C8" s="97" t="s">
        <v>107</v>
      </c>
      <c r="D8" s="97" t="s">
        <v>107</v>
      </c>
      <c r="E8" s="2738" t="s">
        <v>668</v>
      </c>
      <c r="F8" s="2739"/>
      <c r="G8" s="2739"/>
      <c r="H8" s="2739"/>
      <c r="I8" s="2739"/>
      <c r="J8" s="2740"/>
      <c r="L8" s="2486">
        <v>1</v>
      </c>
      <c r="M8" s="633">
        <f>IF(Q16="n.v.t",IF(Q23="n.v.t",IF(Q31="n.v.t",IF(Q38="n.v.t",IF(Q39="n.v.t",IF(Q40="n.v.t",IF(Q41="n.v.t",IF(Q42="n.v.t",IF(Q43="n.v.t",IF(Q44="n.v.t",IF(Q45="n.v.t",IF(Q46="n.v.t",IF(Q47="n.v.t",IF(Q48="n.v.t",IF(Q49="n.v.t","???",Q49),Q48),Q47),Q46),Q45),Q44),Q43),Q42),Q41),Q40),Q39),Q38),Q31),Q23),Q16)</f>
        <v>0</v>
      </c>
      <c r="N8" s="2764" t="str">
        <f>IF($Q16="n.v.t",IF($Q23="n.v.t",IF($Q31="n.v.t",IF($Q38="n.v.t",IF($Q39="n.v.t",IF($Q40="n.v.t",IF($Q41="n.v.t",IF($Q42="n.v.t",IF($Q43="n.v.t",IF($Q44="n.v.t",IF($Q45="n.v.t",IF($Q46="n.v.t",IF($Q47="n.v.t",IF($Q48="n.v.t",IF($Q49="n.v.t","???",S49),S48),S47),S46),S45),S44),S43),S42),S41),S40),S39),S38),S31),S23),S16)</f>
        <v>1: 0 tot 75518 tarief: 36,97% - Max. 27919</v>
      </c>
      <c r="O8" s="2765"/>
      <c r="P8" s="2765"/>
      <c r="Q8" s="212">
        <f>IF(R16="n.v.t",IF(R23="n.v.t",IF(R31="n.v.t",IF(R38="n.v.t",IF(R39="n.v.t",IF(R40="n.v.t",IF(R41="n.v.t",IF(R42="n.v.t",IF(R43="n.v.t",IF(R44="n.v.t",IF(R45="n.v.t",IF(R46="n.v.t",IF(R47="n.v.t",IF(R48="n.v.t",IF(R49="n.v.t","???",R49),R48),R47),R46),R45),R44),R43),R42),R41),R40),R39),R38),R31),R23),R16)</f>
        <v>0</v>
      </c>
      <c r="R8" s="2768" t="str">
        <f>IF($R16="n.v.t",IF($R23="n.v.t",IF($R31="n.v.t",IF($R38="n.v.t",IF($R39="n.v.t",IF($R40="n.v.t",IF($R41="n.v.t",IF($R42="n.v.t",IF($R43="n.v.t",IF($R44="n.v.t",IF($R45="n.v.t",IF($R46="n.v.t",IF($R47="n.v.t",IF($R48="n.v.t",IF($R49="n.v.t","???",S49),S48),S47),S46),S45),S44),S43),S42),S41),S40),S39),S38),S31),S23),S16)</f>
        <v>1: 0 tot 75518 tarief: 36,97% - Max. 27919</v>
      </c>
      <c r="S8" s="2769"/>
      <c r="T8" s="355">
        <f t="shared" ref="T8:W8" si="0">IF(T16="n.v.t",IF(T23="n.v.t",IF(T31="n.v.t",IF(T38="n.v.t",IF(T39="n.v.t",IF(T40="n.v.t",IF(T41="n.v.t",IF(T42="n.v.t",IF(T43="n.v.t",IF(T44="n.v.t",IF(T45="n.v.t",IF(T46="n.v.t",IF(T47="n.v.t",IF(T48="n.v.t",IF(T49="n.v.t","???",T49),T48),T47),T46),T45),T44),T43),T42),T41),T40),T39),T38),T31),T23),T16)</f>
        <v>0</v>
      </c>
      <c r="U8" s="355">
        <f t="shared" si="0"/>
        <v>0</v>
      </c>
      <c r="V8" s="355">
        <f t="shared" si="0"/>
        <v>0</v>
      </c>
      <c r="W8" s="355">
        <f t="shared" si="0"/>
        <v>0</v>
      </c>
      <c r="X8" s="1406">
        <f ca="1">IF(X16="n.v.t",IF(X23="n.v.t",IF(X31="n.v.t",IF(X38="n.v.t",IF(X39="n.v.t",IF(X40="n.v.t",IF(X41="n.v.t",IF(X42="n.v.t",IF(X43="n.v.t",IF(X44="n.v.t",IF(X45="n.v.t",IF(X46="n.v.t",IF(X47="n.v.t",IF(X48="n.v.t",IF(X49="n.v.t","???",X49),X48),X47),X46),X45),X44),X43),X42),X41),X40),X39),X38),X31),X23),X16)</f>
        <v>0</v>
      </c>
      <c r="Y8" s="355">
        <f ca="1">IF(Y16="n.v.t",IF(Y23="n.v.t",IF(Y31="n.v.t",IF(Y38="n.v.t",IF(Y39="n.v.t",IF(Y40="n.v.t",IF(Y41="n.v.t",IF(Y42="n.v.t",IF(Y43="n.v.t",IF(Y44="n.v.t",IF(Y45="n.v.t",IF(Y46="n.v.t",IF(Y47="n.v.t",IF(Y48="n.v.t",IF(Y49="n.v.t","???",Y49),Y48),Y47),Y46),Y45),Y44),Y43),Y42),Y41),Y40),Y39),Y38),Y31),Y23),Y16)</f>
        <v>0</v>
      </c>
      <c r="Z8" s="355">
        <f t="shared" ref="Z8:AA8" si="1">IF(Z16="n.v.t",IF(Z23="n.v.t",IF(Z31="n.v.t",IF(Z38="n.v.t",IF(Z39="n.v.t",IF(Z40="n.v.t",IF(Z41="n.v.t",IF(Z42="n.v.t",IF(Z43="n.v.t",IF(Z44="n.v.t",IF(Z45="n.v.t",IF(Z46="n.v.t",IF(Z47="n.v.t",IF(Z48="n.v.t",IF(Z49="n.v.t","???",Z49),Z48),Z47),Z46),Z45),Z44),Z43),Z42),Z41),Z40),Z39),Z38),Z31),Z23),Z16)</f>
        <v>0</v>
      </c>
      <c r="AA8" s="355">
        <f t="shared" si="1"/>
        <v>0</v>
      </c>
      <c r="AF8" s="2267"/>
    </row>
    <row r="9" spans="1:32" ht="15.75" thickBot="1" x14ac:dyDescent="0.3">
      <c r="A9" s="166" t="s">
        <v>515</v>
      </c>
      <c r="B9" s="2403" t="s">
        <v>669</v>
      </c>
      <c r="C9" s="2445">
        <v>54738</v>
      </c>
      <c r="D9" s="2445">
        <v>54738</v>
      </c>
      <c r="E9" s="2775" t="s">
        <v>436</v>
      </c>
      <c r="F9" s="2776"/>
      <c r="G9" s="2777" t="s">
        <v>614</v>
      </c>
      <c r="H9" s="2776"/>
      <c r="I9" s="2776"/>
      <c r="J9" s="2778"/>
      <c r="L9" s="813">
        <v>2</v>
      </c>
      <c r="M9" s="634">
        <f>IF(Q17="n.v.t",IF(Q24="n.v.t",IF(Q32="n.v.t",IF(Q50="n.v.t","???"),Q32),Q24),Q17)</f>
        <v>0</v>
      </c>
      <c r="N9" s="2798" t="str">
        <f>IF(Q17="n.v.t",IF(Q24="n.v.t",IF(Q32="n.v.t",IF(Q50="n.v.t",""),S32),S24),S17)</f>
        <v>2: vanaf 75518 tarief: 49,5%</v>
      </c>
      <c r="O9" s="2799"/>
      <c r="P9" s="2800"/>
      <c r="Q9" s="207">
        <f>IF(R17="n.v.t",IF(R24="n.v.t",IF(R32="n.v.t",IF(R50="n.v.t","???"),R32),R24),R17)</f>
        <v>0</v>
      </c>
      <c r="R9" s="2757" t="str">
        <f>IF(R17="n.v.t",IF($R24="n.v.t",IF($R32="n.v.t",IF(R50="n.v.t","???"),S32),S24),S17)</f>
        <v>2: vanaf 75518 tarief: 49,5%</v>
      </c>
      <c r="S9" s="2758"/>
      <c r="T9" s="356">
        <f t="shared" ref="T9:W9" si="2">IF(T17="n.v.t",IF(T24="n.v.t",IF(T32="n.v.t",IF(T50="n.v.t","???"),T32),T24),T17)</f>
        <v>0</v>
      </c>
      <c r="U9" s="356">
        <f t="shared" si="2"/>
        <v>0</v>
      </c>
      <c r="V9" s="356">
        <f t="shared" si="2"/>
        <v>0</v>
      </c>
      <c r="W9" s="356">
        <f t="shared" si="2"/>
        <v>0</v>
      </c>
      <c r="X9" s="1407">
        <f ca="1">IF(X17="n.v.t",IF(X24="n.v.t",IF(X32="n.v.t",IF(X50="n.v.t","???"),X32),X24),X17)</f>
        <v>0</v>
      </c>
      <c r="Y9" s="356">
        <f ca="1">IF(Y17="n.v.t",IF(Y24="n.v.t",IF(Y32="n.v.t",IF(Y50="n.v.t","???"),Y32),Y24),Y17)</f>
        <v>0</v>
      </c>
      <c r="Z9" s="356">
        <f t="shared" ref="Z9:AA9" si="3">IF(Z17="n.v.t",IF(Z24="n.v.t",IF(Z32="n.v.t",IF(Z50="n.v.t","???"),Z32),Z24),Z17)</f>
        <v>0</v>
      </c>
      <c r="AA9" s="356">
        <f t="shared" si="3"/>
        <v>0</v>
      </c>
      <c r="AF9" s="2267"/>
    </row>
    <row r="10" spans="1:32" ht="15.75" thickBot="1" x14ac:dyDescent="0.3">
      <c r="A10" s="161" t="s">
        <v>516</v>
      </c>
      <c r="B10" s="658" t="s">
        <v>451</v>
      </c>
      <c r="C10" s="2447" t="str">
        <f>IF(C$9&lt;=$C$16,"Ja","Nee")</f>
        <v>Nee</v>
      </c>
      <c r="D10" s="2447" t="str">
        <f>IF(D$9&lt;=$C$16,"Ja","Nee")</f>
        <v>Nee</v>
      </c>
      <c r="E10" s="2787" t="s">
        <v>986</v>
      </c>
      <c r="F10" s="2788"/>
      <c r="G10" s="2788"/>
      <c r="H10" s="2788"/>
      <c r="I10" s="2788"/>
      <c r="J10" s="2789"/>
      <c r="L10" s="814">
        <v>3</v>
      </c>
      <c r="M10" s="1044">
        <f>IF(Q25="n.v.t",IF(Q33="n.v.t",IF(Q51="n.v.t",0,Q51),Q33),Q25)</f>
        <v>0</v>
      </c>
      <c r="N10" s="2759" t="str">
        <f>IF(Q25="n.v.t",IF(Q33="n.v.t",IF(Q51="n.v.t","3: n.v.t",S51),S33),S25)</f>
        <v>3: n.v.t</v>
      </c>
      <c r="O10" s="2760"/>
      <c r="P10" s="2760"/>
      <c r="Q10" s="213">
        <f>IF(R25="n.v.t",IF(R33="n.v.t",IF(R51="n.v.t",0,R51),R33),R25)</f>
        <v>0</v>
      </c>
      <c r="R10" s="2770" t="str">
        <f>IF(R25="n.v.t",IF(R33="n.v.t",IF(R51="n.v.t","",S51),S33),S25)</f>
        <v/>
      </c>
      <c r="S10" s="2771"/>
      <c r="T10" s="357">
        <f t="shared" ref="T10:Y10" si="4">IF(T25="n.v.t",IF(T33="n.v.t",IF(T51="n.v.t",0,T51),T33),T25)</f>
        <v>0</v>
      </c>
      <c r="U10" s="357">
        <f t="shared" si="4"/>
        <v>0</v>
      </c>
      <c r="V10" s="357">
        <f t="shared" si="4"/>
        <v>0</v>
      </c>
      <c r="W10" s="357">
        <f t="shared" si="4"/>
        <v>0</v>
      </c>
      <c r="X10" s="1408">
        <f t="shared" si="4"/>
        <v>0</v>
      </c>
      <c r="Y10" s="357">
        <f t="shared" si="4"/>
        <v>0</v>
      </c>
      <c r="Z10" s="357">
        <f t="shared" ref="Z10:AA10" si="5">IF(Z25="n.v.t",IF(Z33="n.v.t",IF(Z51="n.v.t",0,Z51),Z33),Z25)</f>
        <v>0</v>
      </c>
      <c r="AA10" s="357">
        <f t="shared" si="5"/>
        <v>0</v>
      </c>
      <c r="AF10" s="2267"/>
    </row>
    <row r="11" spans="1:32" ht="15.75" thickBot="1" x14ac:dyDescent="0.3">
      <c r="A11" s="28" t="s">
        <v>1054</v>
      </c>
      <c r="B11" s="334" t="s">
        <v>1056</v>
      </c>
      <c r="C11" s="2446" t="s">
        <v>107</v>
      </c>
      <c r="D11" s="2444"/>
      <c r="E11" s="2790" t="s">
        <v>1045</v>
      </c>
      <c r="F11" s="2692"/>
      <c r="G11" s="2692"/>
      <c r="H11" s="2692"/>
      <c r="I11" s="2692"/>
      <c r="J11" s="2693"/>
      <c r="M11" s="352">
        <f>SUM(M8:M10)</f>
        <v>0</v>
      </c>
      <c r="Q11" s="352">
        <f>SUM(Q8:Q10)</f>
        <v>0</v>
      </c>
      <c r="R11" s="2"/>
      <c r="T11" s="353">
        <f t="shared" ref="T11:U11" si="6">SUM(T8:T10)</f>
        <v>0</v>
      </c>
      <c r="U11" s="353">
        <f t="shared" si="6"/>
        <v>0</v>
      </c>
      <c r="V11" s="353">
        <f t="shared" ref="V11:AA11" si="7">SUM(V8:V10)</f>
        <v>0</v>
      </c>
      <c r="W11" s="353">
        <f t="shared" si="7"/>
        <v>0</v>
      </c>
      <c r="X11" s="549">
        <f t="shared" ca="1" si="7"/>
        <v>0</v>
      </c>
      <c r="Y11" s="352">
        <f t="shared" ca="1" si="7"/>
        <v>0</v>
      </c>
      <c r="Z11" s="353">
        <f t="shared" si="7"/>
        <v>0</v>
      </c>
      <c r="AA11" s="353">
        <f t="shared" si="7"/>
        <v>0</v>
      </c>
      <c r="AF11" s="2267"/>
    </row>
    <row r="12" spans="1:32" ht="15.75" thickBot="1" x14ac:dyDescent="0.3">
      <c r="A12" s="30" t="s">
        <v>1055</v>
      </c>
      <c r="B12" s="2263" t="s">
        <v>1053</v>
      </c>
      <c r="C12" s="1080">
        <v>0.5</v>
      </c>
      <c r="D12" s="2404"/>
      <c r="E12" s="2655"/>
      <c r="F12" s="2733"/>
      <c r="G12" s="2733"/>
      <c r="H12" s="2733"/>
      <c r="I12" s="2733"/>
      <c r="J12" s="2734"/>
      <c r="AF12" s="2267"/>
    </row>
    <row r="13" spans="1:32" ht="15.75" thickBot="1" x14ac:dyDescent="0.3">
      <c r="A13" s="2448" t="s">
        <v>517</v>
      </c>
      <c r="B13" s="2443" t="s">
        <v>1057</v>
      </c>
      <c r="C13" s="2791" t="s">
        <v>1060</v>
      </c>
      <c r="D13" s="2733"/>
      <c r="E13" s="2733"/>
      <c r="F13" s="2733"/>
      <c r="G13" s="2733"/>
      <c r="H13" s="2733"/>
      <c r="I13" s="2733"/>
      <c r="J13" s="2734"/>
      <c r="AF13" s="2267"/>
    </row>
    <row r="14" spans="1:32" ht="15.75" thickBot="1" x14ac:dyDescent="0.3">
      <c r="L14" s="24" t="str">
        <f>"Belasting schijf box 1 "&amp;BGJaarBerekening&amp;" AOW leeftijd nog niet bereikt"</f>
        <v>Belasting schijf box 1 2024 AOW leeftijd nog niet bereikt</v>
      </c>
      <c r="N14" s="2"/>
      <c r="P14" s="25" t="s">
        <v>108</v>
      </c>
      <c r="S14" s="26"/>
      <c r="T14" s="2663" t="s">
        <v>258</v>
      </c>
      <c r="U14" s="2661" t="s">
        <v>258</v>
      </c>
      <c r="V14" s="2672" t="s">
        <v>786</v>
      </c>
      <c r="W14" s="2672" t="s">
        <v>786</v>
      </c>
      <c r="X14" s="2663" t="s">
        <v>471</v>
      </c>
      <c r="Y14" s="2661" t="s">
        <v>472</v>
      </c>
      <c r="Z14" s="2672" t="s">
        <v>916</v>
      </c>
      <c r="AA14" s="2672" t="s">
        <v>916</v>
      </c>
      <c r="AF14" s="2267"/>
    </row>
    <row r="15" spans="1:32" ht="15.75" thickBot="1" x14ac:dyDescent="0.3">
      <c r="A15" s="9" t="s">
        <v>240</v>
      </c>
      <c r="B15" s="138" t="s">
        <v>328</v>
      </c>
      <c r="C15" s="68" t="s">
        <v>143</v>
      </c>
      <c r="D15" s="2781" t="s">
        <v>208</v>
      </c>
      <c r="E15" s="2773"/>
      <c r="F15" s="2773"/>
      <c r="G15" s="2773"/>
      <c r="H15" s="2773"/>
      <c r="I15" s="2773"/>
      <c r="J15" s="2774"/>
      <c r="L15" s="43" t="s">
        <v>183</v>
      </c>
      <c r="M15" s="825" t="s">
        <v>259</v>
      </c>
      <c r="N15" s="37" t="s">
        <v>562</v>
      </c>
      <c r="O15" s="37" t="s">
        <v>78</v>
      </c>
      <c r="P15" s="63" t="s">
        <v>0</v>
      </c>
      <c r="Q15" s="57" t="str">
        <f>BGPartner_AP</f>
        <v>Alimentatie Plichtig</v>
      </c>
      <c r="R15" s="57" t="str">
        <f>BGPartner_AG</f>
        <v>Alimentatie Gerechtigd</v>
      </c>
      <c r="S15" s="1019" t="s">
        <v>111</v>
      </c>
      <c r="T15" s="2664"/>
      <c r="U15" s="2662"/>
      <c r="V15" s="2673"/>
      <c r="W15" s="2673"/>
      <c r="X15" s="2664"/>
      <c r="Y15" s="2662"/>
      <c r="Z15" s="2673"/>
      <c r="AA15" s="2673"/>
      <c r="AF15" s="2267"/>
    </row>
    <row r="16" spans="1:32" x14ac:dyDescent="0.25">
      <c r="A16" s="28" t="s">
        <v>518</v>
      </c>
      <c r="B16" s="334" t="s">
        <v>405</v>
      </c>
      <c r="C16" s="1021">
        <v>45474</v>
      </c>
      <c r="D16" s="2782" t="str">
        <f>CONCATENATE("Vul hier een datum BINNEN ",LEFT(C22,4)," in, dit is de startdatum waarop de berekening moet worden vastgezet")</f>
        <v>Vul hier een datum BINNEN 2024 in, dit is de startdatum waarop de berekening moet worden vastgezet</v>
      </c>
      <c r="E16" s="2783"/>
      <c r="F16" s="2783"/>
      <c r="G16" s="2783"/>
      <c r="H16" s="2783"/>
      <c r="I16" s="2783"/>
      <c r="J16" s="2784"/>
      <c r="L16" s="28">
        <v>1</v>
      </c>
      <c r="M16" s="826">
        <v>0</v>
      </c>
      <c r="N16" s="722">
        <v>75518</v>
      </c>
      <c r="O16" s="1040">
        <v>0.36969999999999997</v>
      </c>
      <c r="P16" s="732">
        <f>ROUND(O16*(N16-1),0)</f>
        <v>27919</v>
      </c>
      <c r="Q16" s="501">
        <f>IF(BGAOWLeeftijdBereikt_AP="Nee",IF(AL94VerzInkomen_AP&gt;($N16-1),($N16-1)*$O16,$N$4*$O16),"n.v.t")</f>
        <v>0</v>
      </c>
      <c r="R16" s="501">
        <f>IF(BGAOWLeeftijdBereikt_AG="Nee",IF(AL94VerzInkomen_AG&gt;($N16-1),($N16-1)*$O16,AL94VerzInkomen_AG*$O16),"n.v.t")</f>
        <v>0</v>
      </c>
      <c r="S16" s="219" t="str">
        <f>L16&amp;": "&amp;M16&amp;" tot "&amp;N16&amp;" tarief: "&amp;(O16*100)&amp;"% - Max. "&amp;ROUND(P16,0)</f>
        <v>1: 0 tot 75518 tarief: 36,97% - Max. 27919</v>
      </c>
      <c r="T16" s="506">
        <f>IF(BGAOWLeeftijdBereikt_AP="Nee",IF($T$5&gt;($N16-1),($N16-1)*$O16,$T$5*$O16),"n.v.t")</f>
        <v>0</v>
      </c>
      <c r="U16" s="505">
        <f>IF(BGAOWLeeftijdBereikt_AG="Nee",IF($U$5&gt;($N16-1),($N16-1)*$O16,$U$5*$O16),"n.v.t")</f>
        <v>0</v>
      </c>
      <c r="V16" s="501">
        <f>IF(BGAOWLeeftijdBereikt_AP="Nee",IF($V$5&gt;($N16-1),($N16-1)*$O16,$V$5*$O16),"n.v.t")</f>
        <v>0</v>
      </c>
      <c r="W16" s="501">
        <f>IF(BGAOWLeeftijdBereikt_AG="Nee",IF($W$5&gt;($N16-1),($N16-1)*$O16,$W$5*$O16),"n.v.t")</f>
        <v>0</v>
      </c>
      <c r="X16" s="506">
        <f ca="1">IF(BGAOWLeeftijdBereikt_AG="Nee",IF($X$5&lt;=$M16,0,IF($X$5&gt;($N16-1)-$P$16,($N16-1)-$P16,$X$5)),"n.v.t")</f>
        <v>0</v>
      </c>
      <c r="Y16" s="505">
        <f ca="1">IF(X16="n.v.t",X16,X16/(1-$O16))</f>
        <v>0</v>
      </c>
      <c r="Z16" s="501">
        <f>IF(BGAOWLeeftijdBereikt_AP="Nee",IF($Z$5&gt;($N16-1),($N16-1)*$O16,$Z$5*$O16),"n.v.t")</f>
        <v>0</v>
      </c>
      <c r="AA16" s="501">
        <f>IF(BGAOWLeeftijdBereikt_AG="Nee",IF($AA$5&gt;($N16-1),($N16-1)*$O16,$AA$5*$O16),"n.v.t")</f>
        <v>0</v>
      </c>
      <c r="AF16" s="2267"/>
    </row>
    <row r="17" spans="1:32" ht="15.75" thickBot="1" x14ac:dyDescent="0.3">
      <c r="A17" s="30" t="s">
        <v>519</v>
      </c>
      <c r="B17" s="335" t="s">
        <v>329</v>
      </c>
      <c r="C17" s="1326">
        <f>_xlfn.NUMBERVALUE(LEFT(C22,4),",",".")</f>
        <v>2024</v>
      </c>
      <c r="D17" s="2729" t="s">
        <v>565</v>
      </c>
      <c r="E17" s="2730"/>
      <c r="F17" s="2730"/>
      <c r="G17" s="2730"/>
      <c r="H17" s="2730"/>
      <c r="I17" s="2730"/>
      <c r="J17" s="2731"/>
      <c r="L17" s="30">
        <v>2</v>
      </c>
      <c r="M17" s="827">
        <f>N16</f>
        <v>75518</v>
      </c>
      <c r="N17" s="734"/>
      <c r="O17" s="735">
        <v>0.495</v>
      </c>
      <c r="P17" s="736">
        <f>IF(N4&lt;M17,0,(N4-(N16-1))*O17)</f>
        <v>0</v>
      </c>
      <c r="Q17" s="503">
        <f>IF(BGAOWLeeftijdBereikt_AP="Nee",IF(AL94VerzInkomen_AP&lt;$M17,0,(AL94VerzInkomen_AP-($N16-1))*$O17),"n.v.t")</f>
        <v>0</v>
      </c>
      <c r="R17" s="503">
        <f>IF(BGAOWLeeftijdBereikt_AG="Nee",IF(AL94VerzInkomen_AG&lt;$M17,0,(AL94VerzInkomen_AG-($N16-1))*$O17),"n.v.t")</f>
        <v>0</v>
      </c>
      <c r="S17" s="221" t="str">
        <f>L17&amp;": vanaf "&amp;M17&amp;" tarief: "&amp;(O17*100)&amp;"%"</f>
        <v>2: vanaf 75518 tarief: 49,5%</v>
      </c>
      <c r="T17" s="508">
        <f>IF(BGAOWLeeftijdBereikt_AP="Nee",IF($T$5&lt;$M17,0,($T$5-($N16-1))*$O17),"n.v.t")</f>
        <v>0</v>
      </c>
      <c r="U17" s="507">
        <f>IF(BGAOWLeeftijdBereikt_AG="Nee",IF($U$5&lt;$M17,0,($U$5-($N16-1))*$O17),"n.v.t")</f>
        <v>0</v>
      </c>
      <c r="V17" s="503">
        <f>IF(BGAOWLeeftijdBereikt_AP="Nee",IF($V$5&lt;$M17,0,($V$5-($N16-1))*$O17),"n.v.t")</f>
        <v>0</v>
      </c>
      <c r="W17" s="503">
        <f>IF(BGAOWLeeftijdBereikt_AG="Nee",IF($W$5&lt;$M17,0,($W$5-($N16-1))*$O17),"n.v.t")</f>
        <v>0</v>
      </c>
      <c r="X17" s="504">
        <f ca="1">IF(BGAOWLeeftijdBereikt_AG="Nee",IF($X$5&lt;$M17-SUM($P$16:$P16),0,IF($X$5&gt;=$M17-SUM($P$16:$P16),$X$5-SUM(X$16:X16))),"n.v.t")</f>
        <v>0</v>
      </c>
      <c r="Y17" s="507">
        <f ca="1">IF(X17="n.v.t",X17,X17/(1-$O17))</f>
        <v>0</v>
      </c>
      <c r="Z17" s="503">
        <f>IF(BGAOWLeeftijdBereikt_AP="Nee",IF($Z$5&lt;$M17,0,($Z$5-(N16-1))*$O17),"n.v.t")</f>
        <v>0</v>
      </c>
      <c r="AA17" s="503">
        <f>IF(BGAOWLeeftijdBereikt_AG="Nee",IF($AA$5&lt;$M17,0,($AA$5-(N16-1))*$O17),"n.v.t")</f>
        <v>0</v>
      </c>
      <c r="AF17" s="2267"/>
    </row>
    <row r="18" spans="1:32" ht="15.75" thickBot="1" x14ac:dyDescent="0.3">
      <c r="O18" s="2712" t="s">
        <v>197</v>
      </c>
      <c r="P18" s="2795"/>
      <c r="Q18" s="415">
        <f>SUM(Q16:Q17)</f>
        <v>0</v>
      </c>
      <c r="R18" s="415">
        <f>SUM(R16:R17)</f>
        <v>0</v>
      </c>
      <c r="T18" s="509">
        <f t="shared" ref="T18:U18" si="8">SUM(T16:T17)</f>
        <v>0</v>
      </c>
      <c r="U18" s="415">
        <f t="shared" si="8"/>
        <v>0</v>
      </c>
      <c r="V18" s="509">
        <f t="shared" ref="V18:AA18" si="9">SUM(V16:V17)</f>
        <v>0</v>
      </c>
      <c r="W18" s="415">
        <f t="shared" si="9"/>
        <v>0</v>
      </c>
      <c r="X18" s="509">
        <f t="shared" ca="1" si="9"/>
        <v>0</v>
      </c>
      <c r="Y18" s="415">
        <f t="shared" ca="1" si="9"/>
        <v>0</v>
      </c>
      <c r="Z18" s="509">
        <f t="shared" si="9"/>
        <v>0</v>
      </c>
      <c r="AA18" s="415">
        <f t="shared" si="9"/>
        <v>0</v>
      </c>
      <c r="AF18" s="2267"/>
    </row>
    <row r="19" spans="1:32" ht="15.75" customHeight="1" thickBot="1" x14ac:dyDescent="0.3">
      <c r="A19" s="9" t="s">
        <v>240</v>
      </c>
      <c r="B19" s="138" t="s">
        <v>759</v>
      </c>
      <c r="C19" s="27" t="s">
        <v>143</v>
      </c>
      <c r="D19" s="2781" t="s">
        <v>208</v>
      </c>
      <c r="E19" s="2773"/>
      <c r="F19" s="2773"/>
      <c r="G19" s="2773"/>
      <c r="H19" s="2773"/>
      <c r="I19" s="2773"/>
      <c r="J19" s="2774"/>
      <c r="U19" s="331"/>
      <c r="W19" s="331"/>
      <c r="X19" s="331"/>
      <c r="AA19" s="331"/>
      <c r="AF19" s="2267"/>
    </row>
    <row r="20" spans="1:32" ht="15.75" customHeight="1" thickBot="1" x14ac:dyDescent="0.3">
      <c r="A20" s="28" t="s">
        <v>520</v>
      </c>
      <c r="B20" s="336" t="s">
        <v>1071</v>
      </c>
      <c r="C20" s="337"/>
      <c r="D20" s="2782" t="s">
        <v>1008</v>
      </c>
      <c r="E20" s="2783"/>
      <c r="F20" s="2783"/>
      <c r="G20" s="2783"/>
      <c r="H20" s="2783"/>
      <c r="I20" s="2783"/>
      <c r="J20" s="2784"/>
      <c r="L20" s="24" t="str">
        <f>"Belasting schijf box 1 AOW leeftijd is VOOR "&amp;BGJaarBerekening&amp;" bereikt EN:"</f>
        <v>Belasting schijf box 1 AOW leeftijd is VOOR 2024 bereikt EN:</v>
      </c>
      <c r="N20" s="2"/>
      <c r="P20" s="25" t="s">
        <v>108</v>
      </c>
      <c r="AF20" s="2267"/>
    </row>
    <row r="21" spans="1:32" ht="15.75" thickBot="1" x14ac:dyDescent="0.3">
      <c r="A21" s="30" t="s">
        <v>1058</v>
      </c>
      <c r="B21" s="335" t="str">
        <f>"Eerder vastgesteld NBI in "&amp;C20&amp;" (= het jaar van scheiding)"</f>
        <v>Eerder vastgesteld NBI in  (= het jaar van scheiding)</v>
      </c>
      <c r="C21" s="338">
        <v>0</v>
      </c>
      <c r="D21" s="2729" t="s">
        <v>758</v>
      </c>
      <c r="E21" s="2730"/>
      <c r="F21" s="2730"/>
      <c r="G21" s="2730"/>
      <c r="H21" s="2730"/>
      <c r="I21" s="2730"/>
      <c r="J21" s="2731"/>
      <c r="M21" s="224" t="s">
        <v>198</v>
      </c>
      <c r="N21" s="225">
        <v>16803</v>
      </c>
      <c r="O21" s="58"/>
      <c r="P21" s="58"/>
      <c r="Q21" s="58"/>
      <c r="R21" s="58"/>
      <c r="S21" s="58"/>
      <c r="T21" s="2672" t="s">
        <v>258</v>
      </c>
      <c r="U21" s="2672" t="s">
        <v>258</v>
      </c>
      <c r="V21" s="2672" t="s">
        <v>786</v>
      </c>
      <c r="W21" s="2672" t="s">
        <v>786</v>
      </c>
      <c r="X21" s="2663" t="s">
        <v>471</v>
      </c>
      <c r="Y21" s="2661" t="s">
        <v>472</v>
      </c>
      <c r="Z21" s="2672" t="s">
        <v>916</v>
      </c>
      <c r="AA21" s="2672" t="s">
        <v>916</v>
      </c>
      <c r="AF21" s="2267"/>
    </row>
    <row r="22" spans="1:32" ht="15.75" thickBot="1" x14ac:dyDescent="0.3">
      <c r="A22" s="349" t="s">
        <v>1059</v>
      </c>
      <c r="B22" s="837" t="s">
        <v>563</v>
      </c>
      <c r="C22" s="2785" t="s">
        <v>1126</v>
      </c>
      <c r="D22" s="2786"/>
      <c r="L22" s="62" t="s">
        <v>183</v>
      </c>
      <c r="M22" s="65" t="s">
        <v>259</v>
      </c>
      <c r="N22" s="59" t="s">
        <v>562</v>
      </c>
      <c r="O22" s="37" t="s">
        <v>78</v>
      </c>
      <c r="P22" s="63" t="s">
        <v>0</v>
      </c>
      <c r="Q22" s="57" t="str">
        <f>BGPartner_AP</f>
        <v>Alimentatie Plichtig</v>
      </c>
      <c r="R22" s="48" t="str">
        <f>BGPartner_AG</f>
        <v>Alimentatie Gerechtigd</v>
      </c>
      <c r="S22" s="1423" t="s">
        <v>111</v>
      </c>
      <c r="T22" s="2673"/>
      <c r="U22" s="2673"/>
      <c r="V22" s="2673"/>
      <c r="W22" s="2673"/>
      <c r="X22" s="2664"/>
      <c r="Y22" s="2662"/>
      <c r="Z22" s="2673"/>
      <c r="AA22" s="2673"/>
      <c r="AF22" s="2267"/>
    </row>
    <row r="23" spans="1:32" ht="16.5" thickBot="1" x14ac:dyDescent="0.3">
      <c r="C23" s="2"/>
      <c r="D23" s="2"/>
      <c r="E23" s="325"/>
      <c r="L23" s="64">
        <v>1</v>
      </c>
      <c r="M23" s="722">
        <v>0</v>
      </c>
      <c r="N23" s="722">
        <v>40021</v>
      </c>
      <c r="O23" s="1040">
        <v>0.19070000000000001</v>
      </c>
      <c r="P23" s="214">
        <f>O23*(N23-1)</f>
        <v>7631.8140000000003</v>
      </c>
      <c r="Q23" s="501" t="str">
        <f>IF(AND(C$5&lt;$N$21,BGAOWLeeftijdBereikt_AP="Ja"),IF(AL94VerzInkomen_AP&gt;($N23-1),($N23-1)*$O23,AL94VerzInkomen_AP*$O23),"n.v.t")</f>
        <v>n.v.t</v>
      </c>
      <c r="R23" s="1016" t="str">
        <f>IF(AND(D$5&lt;$N$21,BGAOWLeeftijdBereikt_AG="Ja"),IF(AL94VerzInkomen_AG&gt;($N23-1),($N23-1)*$O23,AL94VerzInkomen_AG*$O23),"n.v.t")</f>
        <v>n.v.t</v>
      </c>
      <c r="S23" s="215" t="str">
        <f>L23&amp;": "&amp;M23&amp;" tot "&amp;N23&amp;" tarief: "&amp;(O23*100)&amp;"% - Max. "&amp;ROUND(P23,0)</f>
        <v>1: 0 tot 40021 tarief: 19,07% - Max. 7632</v>
      </c>
      <c r="T23" s="501" t="str">
        <f>IF(AND($C$5&lt;$N$21,BGAOWLeeftijdBereikt_AP="Ja"),IF($T$5&gt;($N23-1),($N23-1)*$O23,$T$5*$O23),"n.v.t")</f>
        <v>n.v.t</v>
      </c>
      <c r="U23" s="501" t="str">
        <f>IF(AND($D$5&lt;$N$21,BGAOWLeeftijdBereikt_AG="Ja"),IF($U$5&gt;($N23-1),($N23-1)*$O23,$U$5*$O23),"n.v.t")</f>
        <v>n.v.t</v>
      </c>
      <c r="V23" s="501" t="str">
        <f>IF(AND($C$5&lt;$N$21,BGAOWLeeftijdBereikt_AP="Ja"),IF($V$5&gt;($N23-1),($N23-1)*$O23,$V$5*$O23),"n.v.t")</f>
        <v>n.v.t</v>
      </c>
      <c r="W23" s="1016" t="str">
        <f>IF(AND($D$5&lt;$N$21,BGAOWLeeftijdBereikt_AG="Ja"),IF($W$5&gt;($N23-1),($N23-1)*$O23,$W$5*$O23),"n.v.t")</f>
        <v>n.v.t</v>
      </c>
      <c r="X23" s="506" t="str">
        <f>IF(AND($D$5&lt;$N$21,BGAOWLeeftijdBereikt_AG="Ja"),IF($X$5&lt;=M23,0,IF($X$5&gt;($N23-1)-SUM(P23:P23),($N23-1)-P23,$X$5)),"n.v.t")</f>
        <v>n.v.t</v>
      </c>
      <c r="Y23" s="505" t="str">
        <f>IF(X23="n.v.t",X23,X23/(1-$O23))</f>
        <v>n.v.t</v>
      </c>
      <c r="Z23" s="501" t="str">
        <f>IF(AND($C$5&lt;$N$21,BGAOWLeeftijdBereikt_AP="Ja"),IF($Z$5&gt;($N23-1),($N23-1)*$O23,$Z$5*$O23),"n.v.t")</f>
        <v>n.v.t</v>
      </c>
      <c r="AA23" s="501" t="str">
        <f>IF(AND($D$5&lt;$N$21,BGAOWLeeftijdBereikt_AG="Ja"),IF($AA$5&gt;($N23-1),($N23-1)*$O23,$AA$5*$O23),"n.v.t")</f>
        <v>n.v.t</v>
      </c>
      <c r="AF23" s="2267"/>
    </row>
    <row r="24" spans="1:32" ht="15.75" thickBot="1" x14ac:dyDescent="0.3">
      <c r="A24" s="158"/>
      <c r="B24" s="346" t="s">
        <v>343</v>
      </c>
      <c r="C24" s="61" t="str">
        <f>BGPartner_AP</f>
        <v>Alimentatie Plichtig</v>
      </c>
      <c r="E24" s="22" t="str">
        <f>BGPartner_AG</f>
        <v>Alimentatie Gerechtigd</v>
      </c>
      <c r="L24" s="29">
        <v>2</v>
      </c>
      <c r="M24" s="714">
        <f>N23</f>
        <v>40021</v>
      </c>
      <c r="N24" s="702">
        <v>75518</v>
      </c>
      <c r="O24" s="755">
        <v>0.36969999999999997</v>
      </c>
      <c r="P24" s="216">
        <f>O24*(N24-N23)</f>
        <v>13123.240899999999</v>
      </c>
      <c r="Q24" s="502" t="str">
        <f>IF(AND(C$5&lt;$N$21,BGAOWLeeftijdBereikt_AP="Ja"),IF(AL94VerzInkomen_AP&lt;$M24,0,IF(AL94VerzInkomen_AP&gt;$N24,($N24-$N23)*$O24,(AL94VerzInkomen_AP-$N23)*$O24)),"n.v.t")</f>
        <v>n.v.t</v>
      </c>
      <c r="R24" s="1017" t="str">
        <f>IF(AND(D$5&lt;$N$21,BGAOWLeeftijdBereikt_AG="Ja"),IF(AL94VerzInkomen_AG&lt;$M24,0,IF(AL94VerzInkomen_AG&gt;$N24,($N24-$N23)*$O24,(AL94VerzInkomen_AG-$N23)*$O24)),"n.v.t")</f>
        <v>n.v.t</v>
      </c>
      <c r="S24" s="217" t="str">
        <f>L24&amp;": "&amp;M24&amp;" tot "&amp;N24&amp;" tarief: "&amp;(O24*100)&amp;"% - Max. "&amp;ROUND(P24,0)</f>
        <v>2: 40021 tot 75518 tarief: 36,97% - Max. 13123</v>
      </c>
      <c r="T24" s="502" t="str">
        <f>IF(AND($C$5&lt;$N$21,BGAOWLeeftijdBereikt_AP="Ja"),IF($T$5&lt;$M24,0,IF($T$5&gt;$N24,($N24-$N23)*$O24,($T$5-$N23)*$O24)),"n.v.t")</f>
        <v>n.v.t</v>
      </c>
      <c r="U24" s="502" t="str">
        <f>IF(AND($D$5&lt;$N$21,BGAOWLeeftijdBereikt_AG="Ja"),IF($U$5&lt;$M24,0,IF($U$5&gt;$N24,($N24-$N23)*$O24,($U$5-$N23)*$O24)),"n.v.t")</f>
        <v>n.v.t</v>
      </c>
      <c r="V24" s="502" t="str">
        <f>IF(AND($C$5&lt;$N$21,BGAOWLeeftijdBereikt_AP="Ja"),IF($V$5&lt;$M24,0,IF($V$5&gt;$N24,($N24-$N23)*$O24,($V$5-$N23)*$O24)),"n.v.t")</f>
        <v>n.v.t</v>
      </c>
      <c r="W24" s="1017" t="str">
        <f>IF(AND($D$5&lt;$N$21,BGAOWLeeftijdBereikt_AG="Ja"),IF($W$5&lt;$M24,0,IF($W$5&gt;$N24,($N24-$N23)*$O24,($W$5-$N23)*$O24)),"n.v.t")</f>
        <v>n.v.t</v>
      </c>
      <c r="X24" s="504" t="str">
        <f>IF(AND($D$5&lt;$N$21,BGAOWLeeftijdBereikt_AG="Ja"),IF($X$5&lt;M24-SUM(P23:P23),0,IF($X$5&gt;N24-SUM(P23:P24),N24-M24-P24,$X$5-SUM(X$23:X23))),"n.v.t")</f>
        <v>n.v.t</v>
      </c>
      <c r="Y24" s="502" t="str">
        <f>IF(X24="n.v.t",X24,X24/(1-$O24))</f>
        <v>n.v.t</v>
      </c>
      <c r="Z24" s="502" t="str">
        <f>IF(AND($C$5&lt;$N$21,BGAOWLeeftijdBereikt_AP="Ja"),IF($Z$5&lt;$M24,0,IF($Z$5&gt;$N24,($N24-$N23)*$O24,($Z$5-$N23)*$O24)),"n.v.t")</f>
        <v>n.v.t</v>
      </c>
      <c r="AA24" s="502" t="str">
        <f>IF(AND($D$5&lt;$N$21,BGAOWLeeftijdBereikt_AG="Ja"),IF($AA$5&lt;$M24,0,IF($AA$5&gt;$N24,($N24-$N23)*$O24,($AA$5-$N23)*$O24)),"n.v.t")</f>
        <v>n.v.t</v>
      </c>
      <c r="AF24" s="2267"/>
    </row>
    <row r="25" spans="1:32" ht="15.75" thickBot="1" x14ac:dyDescent="0.3">
      <c r="B25" s="269" t="s">
        <v>347</v>
      </c>
      <c r="C25" s="44" t="s">
        <v>92</v>
      </c>
      <c r="D25" s="328" t="s">
        <v>347</v>
      </c>
      <c r="E25" s="44" t="s">
        <v>92</v>
      </c>
      <c r="F25" s="2" t="s">
        <v>851</v>
      </c>
      <c r="L25" s="31">
        <v>3</v>
      </c>
      <c r="M25" s="733">
        <f>N24</f>
        <v>75518</v>
      </c>
      <c r="N25" s="734"/>
      <c r="O25" s="735">
        <v>0.495</v>
      </c>
      <c r="P25" s="222">
        <f>IF(Q21&lt;M25,0,(Q21-Basisgegevens!N24)*Basisgegevens!O25)</f>
        <v>0</v>
      </c>
      <c r="Q25" s="503" t="str">
        <f>IF(AND(C$5&lt;$N$21,BGAOWLeeftijdBereikt_AP="Ja"),IF(AL94VerzInkomen_AP&lt;$M25,0,(AL94VerzInkomen_AP-$N24)*$O25),"n.v.t")</f>
        <v>n.v.t</v>
      </c>
      <c r="R25" s="1018" t="str">
        <f>IF(AND(D$5&lt;$N$21,BGAOWLeeftijdBereikt_AG="Ja"),IF(AL94VerzInkomen_AG&lt;$M25,0,(AL94VerzInkomen_AG-$N24)*$O25),"n.v.t")</f>
        <v>n.v.t</v>
      </c>
      <c r="S25" s="218" t="str">
        <f>L25&amp;": vanaf "&amp;M25&amp;" tarief: "&amp;(O25*100)&amp;"%"</f>
        <v>3: vanaf 75518 tarief: 49,5%</v>
      </c>
      <c r="T25" s="503" t="str">
        <f>IF(AND($C$5&lt;$N$21,BGAOWLeeftijdBereikt_AP="Ja"),IF($T$5&lt;$M25,0,($T$5-$N24)*$O25),"n.v.t")</f>
        <v>n.v.t</v>
      </c>
      <c r="U25" s="503" t="str">
        <f>IF(AND($D$5&lt;$N$21,BGAOWLeeftijdBereikt_AG="Ja"),IF($U$5&lt;$M25,0,($U$5-$N24)*$O25),"n.v.t")</f>
        <v>n.v.t</v>
      </c>
      <c r="V25" s="503" t="str">
        <f>IF(AND($C$5&lt;$N$21,BGAOWLeeftijdBereikt_AP="Ja"),IF($V$5&lt;$M25,0,($V$5-$N24)*$O25),"n.v.t")</f>
        <v>n.v.t</v>
      </c>
      <c r="W25" s="1018" t="str">
        <f>IF(AND($D$5&lt;$N$21,BGAOWLeeftijdBereikt_AG="Ja"),IF($W$5&lt;$M25,0,($W$5-$N24)*$O25),"n.v.t")</f>
        <v>n.v.t</v>
      </c>
      <c r="X25" s="504" t="str">
        <f>IF(AND($D$5&lt;$N$21,BGAOWLeeftijdBereikt_AG="Ja"),IF($X$5&lt;M25-SUM(P23:P24),0,IF($X$5&gt;=M25-SUM(P23:P24),$X$5-SUM(X$23:X24))),"n.v.t")</f>
        <v>n.v.t</v>
      </c>
      <c r="Y25" s="507" t="str">
        <f>IF(X25="n.v.t",X25,X25/(1-$O25))</f>
        <v>n.v.t</v>
      </c>
      <c r="Z25" s="503" t="str">
        <f>IF(AND($C$5&lt;$N$21,BGAOWLeeftijdBereikt_AP="Ja"),IF($Z$5&lt;$M25,0,($Z$5-$N24)*$O25),"n.v.t")</f>
        <v>n.v.t</v>
      </c>
      <c r="AA25" s="503" t="str">
        <f>IF(AND($D$5&lt;$N$21,BGAOWLeeftijdBereikt_AG="Ja"),IF($AA$5&lt;$M25,0,($AA$5-$N24)*$O25),"n.v.t")</f>
        <v>n.v.t</v>
      </c>
      <c r="AF25" s="2267"/>
    </row>
    <row r="26" spans="1:32" ht="15.75" thickBot="1" x14ac:dyDescent="0.3">
      <c r="A26" s="43" t="s">
        <v>240</v>
      </c>
      <c r="B26" s="145" t="s">
        <v>71</v>
      </c>
      <c r="C26" s="22" t="str">
        <f>IF(C25="Maand","Per Maand",IF(C25="4 Weken","Per 4-weken",IF(C25="Anders","Anders","")))</f>
        <v>Per Maand</v>
      </c>
      <c r="D26" s="118" t="s">
        <v>346</v>
      </c>
      <c r="E26" s="22" t="str">
        <f>IF(E25="Maand","Per Maand",IF(E25="4 Weken","Per 4-weken",IF(E25="Anders","Anders","")))</f>
        <v>Per Maand</v>
      </c>
      <c r="F26" s="68" t="s">
        <v>346</v>
      </c>
      <c r="G26" s="2781" t="s">
        <v>208</v>
      </c>
      <c r="H26" s="2773"/>
      <c r="I26" s="2773"/>
      <c r="J26" s="2774"/>
      <c r="O26" s="2712" t="s">
        <v>197</v>
      </c>
      <c r="P26" s="2795"/>
      <c r="Q26" s="415">
        <f>SUM(Q23:Q25)</f>
        <v>0</v>
      </c>
      <c r="R26" s="550">
        <f>SUM(R23:R25)</f>
        <v>0</v>
      </c>
      <c r="S26" s="18"/>
      <c r="T26" s="415">
        <f t="shared" ref="T26:Y26" si="10">SUM(T23:T25)</f>
        <v>0</v>
      </c>
      <c r="U26" s="415">
        <f t="shared" si="10"/>
        <v>0</v>
      </c>
      <c r="V26" s="509">
        <f>SUM(V23:V25)</f>
        <v>0</v>
      </c>
      <c r="W26" s="415">
        <f>SUM(W23:W25)</f>
        <v>0</v>
      </c>
      <c r="X26" s="509">
        <f t="shared" si="10"/>
        <v>0</v>
      </c>
      <c r="Y26" s="415">
        <f t="shared" si="10"/>
        <v>0</v>
      </c>
      <c r="Z26" s="509">
        <f>SUM(Z23:Z25)</f>
        <v>0</v>
      </c>
      <c r="AA26" s="415">
        <f>SUM(AA23:AA25)</f>
        <v>0</v>
      </c>
      <c r="AF26" s="2267"/>
    </row>
    <row r="27" spans="1:32" ht="15.75" customHeight="1" x14ac:dyDescent="0.25">
      <c r="A27" s="28"/>
      <c r="B27" s="347" t="s">
        <v>344</v>
      </c>
      <c r="C27" s="78">
        <v>0</v>
      </c>
      <c r="D27" s="860">
        <f>IF(C$25="Maand",C27*12,IF(C$25="4 Weken",C27*13,IF(C$25="Week",C27*52,0)))</f>
        <v>0</v>
      </c>
      <c r="E27" s="78">
        <v>0</v>
      </c>
      <c r="F27" s="860">
        <f>IF(E$25="Maand",E27*12,IF(E$25="4 Weken",E27*13,IF(E$25="Week",E27*52,0)))</f>
        <v>0</v>
      </c>
      <c r="G27" s="2700" t="s">
        <v>420</v>
      </c>
      <c r="H27" s="2701"/>
      <c r="I27" s="2701"/>
      <c r="J27" s="2702"/>
      <c r="AF27" s="2267"/>
    </row>
    <row r="28" spans="1:32" ht="15.75" customHeight="1" thickBot="1" x14ac:dyDescent="0.3">
      <c r="A28" s="30"/>
      <c r="B28" s="348" t="s">
        <v>345</v>
      </c>
      <c r="C28" s="270">
        <v>0</v>
      </c>
      <c r="D28" s="861">
        <f>IF(C$25="Maand",C28*12,IF(C$25="4 Weken",C28*13,IF(C$25="Week",C28*52,0)))</f>
        <v>0</v>
      </c>
      <c r="E28" s="270">
        <v>0</v>
      </c>
      <c r="F28" s="861">
        <f>IF(E$25="Maand",E28*12,IF(E$25="4 Weken",E28*13,IF(E$25="Week",E28*52,0)))</f>
        <v>0</v>
      </c>
      <c r="G28" s="2729" t="s">
        <v>420</v>
      </c>
      <c r="H28" s="2730"/>
      <c r="I28" s="2730"/>
      <c r="J28" s="2731"/>
      <c r="L28" s="24" t="str">
        <f>"Belasting schijf box 1 AOW leeftijd is VOOR "&amp;BGJaarBerekening&amp;" bereikt EN:"</f>
        <v>Belasting schijf box 1 AOW leeftijd is VOOR 2024 bereikt EN:</v>
      </c>
      <c r="N28" s="2"/>
      <c r="P28" s="25" t="s">
        <v>108</v>
      </c>
      <c r="S28" s="26"/>
      <c r="AF28" s="2267"/>
    </row>
    <row r="29" spans="1:32" ht="15.75" thickBot="1" x14ac:dyDescent="0.3">
      <c r="A29" s="161"/>
      <c r="B29" s="111" t="s">
        <v>348</v>
      </c>
      <c r="C29" s="47">
        <f>C27-C28</f>
        <v>0</v>
      </c>
      <c r="D29" s="271">
        <f>D27-D28</f>
        <v>0</v>
      </c>
      <c r="E29" s="47">
        <f>E27-E28</f>
        <v>0</v>
      </c>
      <c r="F29" s="259">
        <f>F27-F28</f>
        <v>0</v>
      </c>
      <c r="M29" s="1014" t="s">
        <v>425</v>
      </c>
      <c r="N29" s="1015">
        <f>N21</f>
        <v>16803</v>
      </c>
      <c r="S29" s="58"/>
      <c r="T29" s="2792" t="s">
        <v>258</v>
      </c>
      <c r="U29" s="2672" t="s">
        <v>258</v>
      </c>
      <c r="V29" s="2672" t="s">
        <v>786</v>
      </c>
      <c r="W29" s="2672" t="s">
        <v>786</v>
      </c>
      <c r="X29" s="2663" t="s">
        <v>471</v>
      </c>
      <c r="Y29" s="2661" t="s">
        <v>472</v>
      </c>
      <c r="Z29" s="2672" t="s">
        <v>916</v>
      </c>
      <c r="AA29" s="2672" t="s">
        <v>916</v>
      </c>
      <c r="AF29" s="2267"/>
    </row>
    <row r="30" spans="1:32" ht="15.75" thickBot="1" x14ac:dyDescent="0.3">
      <c r="L30" s="5" t="s">
        <v>183</v>
      </c>
      <c r="M30" s="258" t="s">
        <v>259</v>
      </c>
      <c r="N30" s="694" t="s">
        <v>562</v>
      </c>
      <c r="O30" s="694" t="s">
        <v>78</v>
      </c>
      <c r="P30" s="263" t="s">
        <v>0</v>
      </c>
      <c r="Q30" s="57" t="str">
        <f>BGPartner_AP</f>
        <v>Alimentatie Plichtig</v>
      </c>
      <c r="R30" s="57" t="str">
        <f>BGPartner_AG</f>
        <v>Alimentatie Gerechtigd</v>
      </c>
      <c r="S30" s="1020" t="s">
        <v>111</v>
      </c>
      <c r="T30" s="2680"/>
      <c r="U30" s="2673"/>
      <c r="V30" s="2673"/>
      <c r="W30" s="2673"/>
      <c r="X30" s="2664"/>
      <c r="Y30" s="2662"/>
      <c r="Z30" s="2673"/>
      <c r="AA30" s="2673"/>
      <c r="AF30" s="2267"/>
    </row>
    <row r="31" spans="1:32" ht="15.75" thickBot="1" x14ac:dyDescent="0.3">
      <c r="C31" s="61" t="str">
        <f>BGPartner_AP</f>
        <v>Alimentatie Plichtig</v>
      </c>
      <c r="E31" s="22" t="str">
        <f>BGPartner_AG</f>
        <v>Alimentatie Gerechtigd</v>
      </c>
      <c r="L31" s="64">
        <v>1</v>
      </c>
      <c r="M31" s="722">
        <v>0</v>
      </c>
      <c r="N31" s="2471">
        <v>38098</v>
      </c>
      <c r="O31" s="1040">
        <v>0.19070000000000001</v>
      </c>
      <c r="P31" s="214">
        <f>O31*(N31-1)</f>
        <v>7265.0979000000007</v>
      </c>
      <c r="Q31" s="501" t="str">
        <f>IF(AND(C$5&gt;=$N$29,BGAOWLeeftijdBereikt_AP="Ja"),IF(AL94VerzInkomen_AP&gt;($N31-1),($N31-1)*$O31,AL94VerzInkomen_AP*$O31),"n.v.t")</f>
        <v>n.v.t</v>
      </c>
      <c r="R31" s="501" t="str">
        <f>IF(AND(D$5&gt;=$N$29,BGAOWLeeftijdBereikt_AG="Ja"),IF(AL94VerzInkomen_AG&gt;($N31-1),($N31-1)*$O31,AL94VerzInkomen_AG*$O31),"n.v.t")</f>
        <v>n.v.t</v>
      </c>
      <c r="S31" s="219" t="str">
        <f>L31&amp;": "&amp;M31&amp;" tot "&amp;N31&amp;" tarief: "&amp;(O31*100)&amp;"% - Max. "&amp;ROUND(P31,0)</f>
        <v>1: 0 tot 38098 tarief: 19,07% - Max. 7265</v>
      </c>
      <c r="T31" s="214" t="str">
        <f>IF(AND(C$5&gt;=$N$29,BGAOWLeeftijdBereikt_AP="Ja"),IF($T$5&gt;($N31-1),($N31-1)*$O31,$T$5*$O31),"n.v.t")</f>
        <v>n.v.t</v>
      </c>
      <c r="U31" s="501" t="str">
        <f>IF(AND(D$5&gt;=$N$29,BGAOWLeeftijdBereikt_AG="Ja"),IF($U$5&gt;($N31-1),($N31-1)*$O31,$U$5*$O31),"n.v.t")</f>
        <v>n.v.t</v>
      </c>
      <c r="V31" s="501" t="str">
        <f>IF(AND($C$5&gt;=$N$29,BGAOWLeeftijdBereikt_AP="Ja"),IF($V$5&gt;($N31-1),($N31-1)*$O31,$V$5*$O31),"n.v.t")</f>
        <v>n.v.t</v>
      </c>
      <c r="W31" s="1016" t="str">
        <f>IF(AND($D$5&gt;=$N$29,BGAOWLeeftijdBereikt_AG="Ja"),IF($W$5&gt;($N31-1),($N31-1)*$O31,$W$5*$O31),"n.v.t")</f>
        <v>n.v.t</v>
      </c>
      <c r="X31" s="506" t="str">
        <f>IF(AND(D$5&gt;=$N$29,BGAOWLeeftijdBereikt_AG="Ja"),IF($X$5&lt;M31,0,IF($X$5&gt;($N31-1)-SUM(P$31:P31),($N31-1)-P31,$X$5)),"n.v.t")</f>
        <v>n.v.t</v>
      </c>
      <c r="Y31" s="505" t="str">
        <f>IF(X31="n.v.t",X31,X31/(1-$O31))</f>
        <v>n.v.t</v>
      </c>
      <c r="Z31" s="214" t="str">
        <f>IF(AND($C$5&gt;=$N$29,BGAOWLeeftijdBereikt_AP="Ja"),IF($Z$5&gt;($N31-1),($N31-1)*$O31,$Z$5*$O31),"n.v.t")</f>
        <v>n.v.t</v>
      </c>
      <c r="AA31" s="501" t="str">
        <f>IF(AND($D$5&gt;=$N$29,BGAOWLeeftijdBereikt_AG="Ja"),IF($AA$5&gt;($N31-1),($N31-1)*$O31,$AA$5*$O31),"n.v.t")</f>
        <v>n.v.t</v>
      </c>
      <c r="AF31" s="2267"/>
    </row>
    <row r="32" spans="1:32" ht="15" customHeight="1" thickBot="1" x14ac:dyDescent="0.3">
      <c r="A32" s="43" t="s">
        <v>240</v>
      </c>
      <c r="B32" s="990" t="s">
        <v>605</v>
      </c>
      <c r="C32" s="989" t="s">
        <v>1</v>
      </c>
      <c r="D32" s="57" t="s">
        <v>95</v>
      </c>
      <c r="E32" s="57" t="s">
        <v>1</v>
      </c>
      <c r="F32" s="57" t="s">
        <v>308</v>
      </c>
      <c r="G32" s="2779" t="s">
        <v>208</v>
      </c>
      <c r="H32" s="2779"/>
      <c r="I32" s="2779"/>
      <c r="J32" s="2780"/>
      <c r="L32" s="29">
        <v>2</v>
      </c>
      <c r="M32" s="714">
        <f>N31</f>
        <v>38098</v>
      </c>
      <c r="N32" s="2472">
        <v>75518</v>
      </c>
      <c r="O32" s="755">
        <v>0.36969999999999997</v>
      </c>
      <c r="P32" s="216">
        <f>O32*(N32-N31)</f>
        <v>13834.173999999999</v>
      </c>
      <c r="Q32" s="502" t="str">
        <f>IF(AND(C$5&gt;=$N$29,BGAOWLeeftijdBereikt_AP="Ja"),IF(AL94VerzInkomen_AP&lt;$M32,0,IF(AL94VerzInkomen_AP&gt;$N32,($N32-$N31)*$O32,(AL94VerzInkomen_AP-$N31)*$O32)),"n.v.t")</f>
        <v>n.v.t</v>
      </c>
      <c r="R32" s="502" t="str">
        <f>IF(AND(D$5&gt;=$N$29,BGAOWLeeftijdBereikt_AG="Ja"),IF(AL94VerzInkomen_AG&lt;$M32,0,IF(AL94VerzInkomen_AG&gt;$N32,($N32-$N31)*$O32,(AL94VerzInkomen_AG-$N31)*$O32)),"n.v.t")</f>
        <v>n.v.t</v>
      </c>
      <c r="S32" s="220" t="str">
        <f>L32&amp;": "&amp;M32&amp;" tot "&amp;N32&amp;" tarief: "&amp;(O32*100)&amp;"% - Max. "&amp;ROUND(P32,0)</f>
        <v>2: 38098 tot 75518 tarief: 36,97% - Max. 13834</v>
      </c>
      <c r="T32" s="216" t="str">
        <f>IF(AND(C$5&gt;=$N$29,BGAOWLeeftijdBereikt_AP="Ja"),IF($T$5&lt;$M32,0,IF($T$5&gt;$N32,($N32-$N31)*$O32,($T$5-$N31)*$O32)),"n.v.t")</f>
        <v>n.v.t</v>
      </c>
      <c r="U32" s="502" t="str">
        <f>IF(AND(D$5&gt;=$N$29,BGAOWLeeftijdBereikt_AG="Ja"),IF($U$5&lt;$M32,0,IF($U$5&gt;$N32,($N32-$N31)*$O32,($U$5-$N31)*$O32)),"n.v.t")</f>
        <v>n.v.t</v>
      </c>
      <c r="V32" s="502" t="str">
        <f>IF(AND($C$5&gt;=$N$29,BGAOWLeeftijdBereikt_AP="Ja"),IF($V$5&lt;$M32,0,IF($V$5&gt;$N32,($N32-$N31)*$O32,($V$5-$N31)*$O32)),"n.v.t")</f>
        <v>n.v.t</v>
      </c>
      <c r="W32" s="1017" t="str">
        <f>IF(AND($D$5&gt;=$N$29,BGAOWLeeftijdBereikt_AG="Ja"),IF($W$5&lt;$M32,0,IF($W$5&gt;$N32,($N32-$N31)*$O32,($W$5-$N31)*$O32)),"n.v.t")</f>
        <v>n.v.t</v>
      </c>
      <c r="X32" s="504" t="str">
        <f>IF(AND(D$5&gt;=$N$29,BGAOWLeeftijdBereikt_AG="Ja"),IF($X$5&lt;M32-SUM(P$31:P31),0,IF($X$5&gt;N32-SUM(P$31:P32),N32-M32-P32,$X$5-SUM(X$31:X31))),"n.v.t")</f>
        <v>n.v.t</v>
      </c>
      <c r="Y32" s="502" t="str">
        <f>IF(X32="n.v.t",X32,X32/(1-$O32))</f>
        <v>n.v.t</v>
      </c>
      <c r="Z32" s="216" t="str">
        <f>IF(AND($C$5&gt;=$N$29,BGAOWLeeftijdBereikt_AP="Ja"),IF($Z$5&lt;$M32,0,IF($Z$5&gt;$N32,($N32-$N31)*$O32,($Z$5-$N31)*$O32)),"n.v.t")</f>
        <v>n.v.t</v>
      </c>
      <c r="AA32" s="502" t="str">
        <f>IF(AND($D$5&gt;=$N$29,BGAOWLeeftijdBereikt_AG="Ja"),IF($AA$5&lt;$M32,0,IF($AA$5&gt;$N32,($N32-$N31)*$O32,($AA$5-$N31)*$O32)),"n.v.t")</f>
        <v>n.v.t</v>
      </c>
      <c r="AF32" s="2267"/>
    </row>
    <row r="33" spans="1:32" ht="14.45" customHeight="1" thickBot="1" x14ac:dyDescent="0.3">
      <c r="A33" s="66">
        <v>60</v>
      </c>
      <c r="B33" s="991" t="s">
        <v>1009</v>
      </c>
      <c r="C33" s="35">
        <v>0</v>
      </c>
      <c r="D33" s="1325">
        <f>C33</f>
        <v>0</v>
      </c>
      <c r="E33" s="35">
        <v>0</v>
      </c>
      <c r="F33" s="1325">
        <f>E33</f>
        <v>0</v>
      </c>
      <c r="G33" s="2725" t="s">
        <v>839</v>
      </c>
      <c r="H33" s="2725"/>
      <c r="I33" s="2725"/>
      <c r="J33" s="2726"/>
      <c r="L33" s="31">
        <v>3</v>
      </c>
      <c r="M33" s="733">
        <f>N32</f>
        <v>75518</v>
      </c>
      <c r="N33" s="2473"/>
      <c r="O33" s="735">
        <v>0.495</v>
      </c>
      <c r="P33" s="222">
        <f>IF(Q29&lt;M33,0,(Q29-Basisgegevens!N24)*Basisgegevens!O33)</f>
        <v>0</v>
      </c>
      <c r="Q33" s="503" t="str">
        <f>IF(AND(C$5&gt;=$N$29,BGAOWLeeftijdBereikt_AP="Ja"),IF(AL94VerzInkomen_AP&lt;$M33,0,(AL94VerzInkomen_AP-$N24)*$O33),"n.v.t")</f>
        <v>n.v.t</v>
      </c>
      <c r="R33" s="503" t="str">
        <f>IF(AND(D$5&gt;=$N$29,BGAOWLeeftijdBereikt_AG="Ja"),IF(AL94VerzInkomen_AG&lt;$M33,0,(AL94VerzInkomen_AG-$N24)*$O33),"n.v.t")</f>
        <v>n.v.t</v>
      </c>
      <c r="S33" s="221" t="str">
        <f>L33&amp;": vanaf "&amp;M33&amp;" tarief: "&amp;(O33*100)&amp;"%"</f>
        <v>3: vanaf 75518 tarief: 49,5%</v>
      </c>
      <c r="T33" s="222" t="str">
        <f>IF(AND(C$5&gt;=$N$29,BGAOWLeeftijdBereikt_AP="Ja"),IF($T$5&lt;$M33,0,($T$5-$N32)*$O33),"n.v.t")</f>
        <v>n.v.t</v>
      </c>
      <c r="U33" s="503" t="str">
        <f>IF(AND(D$5&gt;=$N$29,BGAOWLeeftijdBereikt_AG="Ja"),IF($U$5&lt;$M33,0,($U$5-$N32)*$O33),"n.v.t")</f>
        <v>n.v.t</v>
      </c>
      <c r="V33" s="503" t="str">
        <f>IF(AND($C$5&gt;=$N$29,BGAOWLeeftijdBereikt_AP="Ja"),IF($V$5&lt;$M33,0,($V$5-$N32)*$O33),"n.v.t")</f>
        <v>n.v.t</v>
      </c>
      <c r="W33" s="1018" t="str">
        <f>IF(AND($D$5&gt;=$N$29,BGAOWLeeftijdBereikt_AG="Ja"),IF($W$5&lt;$M33,0,($W$5-$N32)*$O33),"n.v.t")</f>
        <v>n.v.t</v>
      </c>
      <c r="X33" s="504" t="str">
        <f>IF(AND(D$5&gt;=$N$29,BGAOWLeeftijdBereikt_AG="Ja"),IF($X$5&lt;M33-SUM(P$31:P32),0,IF($X$5&gt;=M33-SUM(P$31:P32),$X$5-SUM(X$31:X32))),"n.v.t")</f>
        <v>n.v.t</v>
      </c>
      <c r="Y33" s="507" t="str">
        <f>IF(X33="n.v.t",X33,X33/(1-$O33))</f>
        <v>n.v.t</v>
      </c>
      <c r="Z33" s="222" t="str">
        <f>IF(AND($C$5&gt;=$N$29,BGAOWLeeftijdBereikt_AP="Ja"),IF($Z$5&lt;$M33,0,($Z$5-$N32)*$O33),"n.v.t")</f>
        <v>n.v.t</v>
      </c>
      <c r="AA33" s="503" t="str">
        <f>IF(AND($D$5&gt;=$N$29,BGAOWLeeftijdBereikt_AG="Ja"),IF($AA$5&lt;$M33,0,($AA$5-$N32)*$O33),"n.v.t")</f>
        <v>n.v.t</v>
      </c>
      <c r="AF33" s="2267"/>
    </row>
    <row r="34" spans="1:32" ht="15" customHeight="1" thickBot="1" x14ac:dyDescent="0.3">
      <c r="A34" s="166"/>
      <c r="B34" s="1011" t="s">
        <v>649</v>
      </c>
      <c r="C34" s="992" t="s">
        <v>106</v>
      </c>
      <c r="D34" s="993">
        <f>IF(C$34="Ja",D$29,0)</f>
        <v>0</v>
      </c>
      <c r="E34" s="992" t="s">
        <v>106</v>
      </c>
      <c r="F34" s="993">
        <f>IF(E$34="Ja",F$29,0)</f>
        <v>0</v>
      </c>
      <c r="G34" s="2727"/>
      <c r="H34" s="2727"/>
      <c r="I34" s="2727"/>
      <c r="J34" s="2728"/>
      <c r="O34" s="2712" t="s">
        <v>197</v>
      </c>
      <c r="P34" s="2803"/>
      <c r="Q34" s="415">
        <f>SUM(Q31:Q33)</f>
        <v>0</v>
      </c>
      <c r="R34" s="415">
        <f>SUM(R31:R33)</f>
        <v>0</v>
      </c>
      <c r="T34" s="509">
        <f t="shared" ref="T34:Y34" si="11">SUM(T31:T33)</f>
        <v>0</v>
      </c>
      <c r="U34" s="415">
        <f t="shared" si="11"/>
        <v>0</v>
      </c>
      <c r="V34" s="509">
        <f>SUM(V31:V33)</f>
        <v>0</v>
      </c>
      <c r="W34" s="415">
        <f>SUM(W31:W33)</f>
        <v>0</v>
      </c>
      <c r="X34" s="509">
        <f t="shared" si="11"/>
        <v>0</v>
      </c>
      <c r="Y34" s="415">
        <f t="shared" si="11"/>
        <v>0</v>
      </c>
      <c r="Z34" s="509">
        <f>SUM(Z31:Z33)</f>
        <v>0</v>
      </c>
      <c r="AA34" s="415">
        <f>SUM(AA31:AA33)</f>
        <v>0</v>
      </c>
      <c r="AF34" s="2267"/>
    </row>
    <row r="35" spans="1:32" ht="15.75" customHeight="1" thickBot="1" x14ac:dyDescent="0.3">
      <c r="A35" s="161">
        <v>60</v>
      </c>
      <c r="B35" s="658" t="s">
        <v>1010</v>
      </c>
      <c r="C35" s="915">
        <v>0</v>
      </c>
      <c r="D35" s="47">
        <f>C35</f>
        <v>0</v>
      </c>
      <c r="E35" s="915">
        <v>0</v>
      </c>
      <c r="F35" s="47">
        <f>E35</f>
        <v>0</v>
      </c>
      <c r="G35" s="26"/>
      <c r="H35" s="26"/>
      <c r="I35" s="26"/>
      <c r="J35" s="26"/>
      <c r="M35" s="2"/>
      <c r="N35" s="2"/>
      <c r="O35" s="58"/>
      <c r="P35" s="58"/>
      <c r="Q35" s="58"/>
      <c r="R35" s="58"/>
      <c r="S35" s="58"/>
      <c r="AF35" s="2267"/>
    </row>
    <row r="36" spans="1:32" ht="15.75" thickBot="1" x14ac:dyDescent="0.3">
      <c r="B36" s="994" t="s">
        <v>602</v>
      </c>
      <c r="E36" s="21"/>
      <c r="F36" s="21"/>
      <c r="G36" s="26"/>
      <c r="H36" s="26"/>
      <c r="I36" s="26"/>
      <c r="J36" s="26"/>
      <c r="L36" s="24" t="str">
        <f>"Belasting schijf box 1 AOW leeftijd wordt in "&amp;BGJaarBerekening&amp;" bereikt"</f>
        <v>Belasting schijf box 1 AOW leeftijd wordt in 2024 bereikt</v>
      </c>
      <c r="N36" s="2"/>
      <c r="P36" s="25" t="s">
        <v>108</v>
      </c>
      <c r="R36" s="58"/>
      <c r="S36" s="58"/>
      <c r="T36" s="2672" t="s">
        <v>258</v>
      </c>
      <c r="U36" s="2796" t="s">
        <v>258</v>
      </c>
      <c r="V36" s="2672" t="s">
        <v>786</v>
      </c>
      <c r="W36" s="2793" t="s">
        <v>786</v>
      </c>
      <c r="X36" s="2792" t="s">
        <v>471</v>
      </c>
      <c r="Y36" s="2672" t="s">
        <v>472</v>
      </c>
      <c r="Z36" s="2672" t="s">
        <v>916</v>
      </c>
      <c r="AA36" s="2672" t="s">
        <v>916</v>
      </c>
      <c r="AF36" s="2267"/>
    </row>
    <row r="37" spans="1:32" ht="15.75" thickBot="1" x14ac:dyDescent="0.3">
      <c r="A37" s="158">
        <v>41</v>
      </c>
      <c r="B37" s="104" t="s">
        <v>606</v>
      </c>
      <c r="C37" s="61" t="str">
        <f>BGPartner_AP</f>
        <v>Alimentatie Plichtig</v>
      </c>
      <c r="E37" s="22" t="str">
        <f>BGPartner_AG</f>
        <v>Alimentatie Gerechtigd</v>
      </c>
      <c r="L37" s="5" t="s">
        <v>183</v>
      </c>
      <c r="M37" s="258" t="s">
        <v>259</v>
      </c>
      <c r="N37" s="6" t="s">
        <v>562</v>
      </c>
      <c r="O37" s="6" t="s">
        <v>78</v>
      </c>
      <c r="P37" s="263" t="s">
        <v>0</v>
      </c>
      <c r="Q37" s="22" t="str">
        <f>BGPartner_AP</f>
        <v>Alimentatie Plichtig</v>
      </c>
      <c r="R37" s="22" t="str">
        <f>BGPartner_AG</f>
        <v>Alimentatie Gerechtigd</v>
      </c>
      <c r="S37" s="1422" t="s">
        <v>111</v>
      </c>
      <c r="T37" s="2673"/>
      <c r="U37" s="2797"/>
      <c r="V37" s="2673"/>
      <c r="W37" s="2794"/>
      <c r="X37" s="2680"/>
      <c r="Y37" s="2673"/>
      <c r="Z37" s="2673"/>
      <c r="AA37" s="2680"/>
      <c r="AB37" s="43" t="s">
        <v>92</v>
      </c>
      <c r="AF37" s="2267"/>
    </row>
    <row r="38" spans="1:32" ht="15.75" thickBot="1" x14ac:dyDescent="0.3">
      <c r="B38" s="107" t="s">
        <v>91</v>
      </c>
      <c r="C38" s="44" t="s">
        <v>92</v>
      </c>
      <c r="D38" s="23" t="s">
        <v>91</v>
      </c>
      <c r="E38" s="44" t="s">
        <v>92</v>
      </c>
      <c r="F38" s="2" t="s">
        <v>851</v>
      </c>
      <c r="L38" s="64">
        <v>1</v>
      </c>
      <c r="M38" s="722">
        <v>0</v>
      </c>
      <c r="N38" s="722">
        <v>38098</v>
      </c>
      <c r="O38" s="1040">
        <v>0.19070000000000001</v>
      </c>
      <c r="P38" s="732">
        <f>O38*(N38-1)</f>
        <v>7265.0979000000007</v>
      </c>
      <c r="Q38" s="501" t="str">
        <f t="shared" ref="Q38:Q49" si="12">IF(AND(BGAOWLeeftijdBereikt_AP="Ja",YEAR($C$9)=BGJaarBerekening,MONTH($C$9)=$AB38),IF(AL94VerzInkomen_AP&gt;($N38-1),($N38-1)*$O38,AL94VerzInkomen_AP*$O38),"n.v.t")</f>
        <v>n.v.t</v>
      </c>
      <c r="R38" s="501" t="str">
        <f t="shared" ref="R38:R49" si="13">IF(AND(BGAOWLeeftijdBereikt_AG="Ja",YEAR($D$9)=BGJaarBerekening,MONTH($D$9)=$AB38),IF(AL94VerzInkomen_AG&gt;($N38-1),($N38-1)*$O38,AL94VerzInkomen_AG*$O38),"n.v.t")</f>
        <v>n.v.t</v>
      </c>
      <c r="S38" s="215" t="str">
        <f>L38&amp;": "&amp;M38&amp;" tot "&amp;N38&amp;" tarief: "&amp;(O38*100)&amp;"% - Max. "&amp;ROUND(P38,0)</f>
        <v>1: 0 tot 38098 tarief: 19,07% - Max. 7265</v>
      </c>
      <c r="T38" s="501" t="str">
        <f t="shared" ref="T38:T49" si="14">IF(AND(BGAOWLeeftijdBereikt_AP="Ja",YEAR($C$9)=BGJaarBerekening,MONTH(C$9)=$AB38),IF($T$5&gt;($N38-1),($N38-1)*$O38,$T$5*$O38),"n.v.t")</f>
        <v>n.v.t</v>
      </c>
      <c r="U38" s="623" t="str">
        <f t="shared" ref="U38:U49" si="15">IF(AND(BGAOWLeeftijdBereikt_AG="Ja",YEAR($D$9)=BGJaarBerekening,MONTH(D$9)=$AB38),IF($U$5&gt;($N38-1),($N38-1)*$O38,$U$5*$O38),"n.v.t")</f>
        <v>n.v.t</v>
      </c>
      <c r="V38" s="501" t="str">
        <f t="shared" ref="V38:V49" si="16">IF(AND(BGAOWLeeftijdBereikt_AP="Ja",YEAR($C$9)=BGJaarBerekening,MONTH(H$9)=$AB38),IF($V$5&gt;($N38-1),($N38-1)*$O38,$V$5*$O38),"n.v.t")</f>
        <v>n.v.t</v>
      </c>
      <c r="W38" s="1016" t="str">
        <f t="shared" ref="W38:W49" si="17">IF(AND(BGAOWLeeftijdBereikt_AG="Ja",YEAR($D$9)=BGJaarBerekening,MONTH(I$9)=$AB38),IF($W$5&gt;($N38-1),($N38-1)*$O38,$W$5*$O38),"n.v.t")</f>
        <v>n.v.t</v>
      </c>
      <c r="X38" s="1411" t="str">
        <f t="shared" ref="X38:X49" si="18">IF(AND(BGAOWLeeftijdBereikt_AG="Ja",YEAR($D$9)=BGJaarBerekening,MONTH(D$9)=$AB38),IF($X$5&lt;=M38,0,IF($X$5&gt;($N38-1)-P38,($N38-1)-P38,$X$5)),"n.v.t")</f>
        <v>n.v.t</v>
      </c>
      <c r="Y38" s="501" t="str">
        <f t="shared" ref="Y38:Y51" si="19">IF(X38="n.v.t",X38,X38/(1-$O38))</f>
        <v>n.v.t</v>
      </c>
      <c r="Z38" s="501" t="str">
        <f t="shared" ref="Z38:Z49" si="20">IF(AND(BGAOWLeeftijdBereikt_AP="Ja",YEAR($C$9)=BGJaarBerekening,MONTH(I$9)=$AB38),IF($Z$5&gt;($N38-1),($N38-1)*$O38,$Z$5*$O38),"n.v.t")</f>
        <v>n.v.t</v>
      </c>
      <c r="AA38" s="623" t="str">
        <f t="shared" ref="AA38:AA49" si="21">IF(AND(BGAOWLeeftijdBereikt_AG="Ja",YEAR($D$9)=BGJaarBerekening,MONTH(J$9)=$AB38),IF($AA$5&gt;($N38-1),($N38-1)*$O38,$AA$5*$O38),"n.v.t")</f>
        <v>n.v.t</v>
      </c>
      <c r="AB38" s="28">
        <v>1</v>
      </c>
      <c r="AF38" s="2267"/>
    </row>
    <row r="39" spans="1:32" ht="15.75" thickBot="1" x14ac:dyDescent="0.3">
      <c r="A39" s="9" t="s">
        <v>240</v>
      </c>
      <c r="B39" s="108" t="s">
        <v>71</v>
      </c>
      <c r="C39" s="22" t="str">
        <f>IF(C38="Maand","Maandloon",IF(C38="4 Weken","4-Wekenloon",IF(C38="Week","Weekloon",IF(C38="Anders","Anders",""))))</f>
        <v>Maandloon</v>
      </c>
      <c r="D39" s="22" t="s">
        <v>674</v>
      </c>
      <c r="E39" s="22" t="str">
        <f>IF(E38="Maand","Maandloon",IF(E38="4 Weken","4-Wekenloon",IF(E38="Week","Weekloon",IF(E38="Anders","Anders",""))))</f>
        <v>Maandloon</v>
      </c>
      <c r="F39" s="22" t="s">
        <v>674</v>
      </c>
      <c r="G39" s="2697" t="s">
        <v>208</v>
      </c>
      <c r="H39" s="2698"/>
      <c r="I39" s="2698"/>
      <c r="J39" s="2699"/>
      <c r="L39" s="29">
        <v>1</v>
      </c>
      <c r="M39" s="702">
        <v>0</v>
      </c>
      <c r="N39" s="714">
        <f t="shared" ref="N39:N49" si="22">N38</f>
        <v>38098</v>
      </c>
      <c r="O39" s="755">
        <v>0.2056</v>
      </c>
      <c r="P39" s="1421">
        <f t="shared" ref="P39:P49" si="23">O39*(N39-1)</f>
        <v>7832.7431999999999</v>
      </c>
      <c r="Q39" s="502" t="str">
        <f t="shared" si="12"/>
        <v>n.v.t</v>
      </c>
      <c r="R39" s="502" t="str">
        <f t="shared" si="13"/>
        <v>n.v.t</v>
      </c>
      <c r="S39" s="217" t="str">
        <f t="shared" ref="S39:S49" si="24">L39&amp;": "&amp;M39&amp;" tot "&amp;N39&amp;" tarief: "&amp;(O39*100)&amp;"% - Max. "&amp;ROUND(P39,0)</f>
        <v>1: 0 tot 38098 tarief: 20,56% - Max. 7833</v>
      </c>
      <c r="T39" s="502" t="str">
        <f t="shared" si="14"/>
        <v>n.v.t</v>
      </c>
      <c r="U39" s="624" t="str">
        <f t="shared" si="15"/>
        <v>n.v.t</v>
      </c>
      <c r="V39" s="502" t="str">
        <f t="shared" si="16"/>
        <v>n.v.t</v>
      </c>
      <c r="W39" s="1017" t="str">
        <f t="shared" si="17"/>
        <v>n.v.t</v>
      </c>
      <c r="X39" s="506" t="str">
        <f t="shared" si="18"/>
        <v>n.v.t</v>
      </c>
      <c r="Y39" s="505" t="str">
        <f t="shared" si="19"/>
        <v>n.v.t</v>
      </c>
      <c r="Z39" s="502" t="str">
        <f t="shared" si="20"/>
        <v>n.v.t</v>
      </c>
      <c r="AA39" s="624" t="str">
        <f t="shared" si="21"/>
        <v>n.v.t</v>
      </c>
      <c r="AB39" s="66">
        <v>2</v>
      </c>
      <c r="AF39" s="2267"/>
    </row>
    <row r="40" spans="1:32" x14ac:dyDescent="0.25">
      <c r="A40" s="67"/>
      <c r="B40" s="159" t="s">
        <v>72</v>
      </c>
      <c r="C40" s="227">
        <v>0</v>
      </c>
      <c r="D40" s="324">
        <f>IF(BG060Jaaropgave1_AP&lt;&gt;0,"zie jaarloon (60)",IF(C$38="Maand",C40*12,IF(C$38="4 Weken",C40*13,IF(C$38="Week",C40*52,0))))</f>
        <v>0</v>
      </c>
      <c r="E40" s="227">
        <v>0</v>
      </c>
      <c r="F40" s="1109">
        <f>IF(BG060Jaaropgave1_AG&lt;&gt;0,"zie jaarloon (60)",IF(E$38="Maand",E40*12,IF(E$38="4 Weken",E40*13,IF(E$38="Week",E40*52,0))))</f>
        <v>0</v>
      </c>
      <c r="G40" s="2700" t="s">
        <v>408</v>
      </c>
      <c r="H40" s="2701"/>
      <c r="I40" s="2701"/>
      <c r="J40" s="2702"/>
      <c r="L40" s="29">
        <v>1</v>
      </c>
      <c r="M40" s="702">
        <v>0</v>
      </c>
      <c r="N40" s="714">
        <f>N39</f>
        <v>38098</v>
      </c>
      <c r="O40" s="755">
        <v>0.2205</v>
      </c>
      <c r="P40" s="1421">
        <f t="shared" si="23"/>
        <v>8400.3885000000009</v>
      </c>
      <c r="Q40" s="502" t="str">
        <f t="shared" si="12"/>
        <v>n.v.t</v>
      </c>
      <c r="R40" s="502" t="str">
        <f t="shared" si="13"/>
        <v>n.v.t</v>
      </c>
      <c r="S40" s="217" t="str">
        <f t="shared" si="24"/>
        <v>1: 0 tot 38098 tarief: 22,05% - Max. 8400</v>
      </c>
      <c r="T40" s="502" t="str">
        <f t="shared" si="14"/>
        <v>n.v.t</v>
      </c>
      <c r="U40" s="624" t="str">
        <f t="shared" si="15"/>
        <v>n.v.t</v>
      </c>
      <c r="V40" s="502" t="str">
        <f t="shared" si="16"/>
        <v>n.v.t</v>
      </c>
      <c r="W40" s="1017" t="str">
        <f t="shared" si="17"/>
        <v>n.v.t</v>
      </c>
      <c r="X40" s="506" t="str">
        <f t="shared" si="18"/>
        <v>n.v.t</v>
      </c>
      <c r="Y40" s="505" t="str">
        <f t="shared" si="19"/>
        <v>n.v.t</v>
      </c>
      <c r="Z40" s="502" t="str">
        <f t="shared" si="20"/>
        <v>n.v.t</v>
      </c>
      <c r="AA40" s="624" t="str">
        <f t="shared" si="21"/>
        <v>n.v.t</v>
      </c>
      <c r="AB40" s="66">
        <v>3</v>
      </c>
      <c r="AF40" s="2267"/>
    </row>
    <row r="41" spans="1:32" x14ac:dyDescent="0.25">
      <c r="A41" s="66"/>
      <c r="B41" s="146" t="s">
        <v>73</v>
      </c>
      <c r="C41" s="36">
        <v>0</v>
      </c>
      <c r="D41" s="321">
        <f>IF(BG060Jaaropgave1_AP&lt;&gt;0,"zie jaarloon (60)",IF(C$38="Maand",C41*12,IF(C$38="4 Weken",C41*13,IF(C$38="Week",C41*52,0))))</f>
        <v>0</v>
      </c>
      <c r="E41" s="36">
        <v>0</v>
      </c>
      <c r="F41" s="1110">
        <f>IF(BG060Jaaropgave1_AG&lt;&gt;0,"zie jaarloon (60)",IF(E$38="Maand",E41*12,IF(E$38="4 Weken",E41*13,IF(E$38="Week",E41*52,0))))</f>
        <v>0</v>
      </c>
      <c r="G41" s="2674" t="s">
        <v>408</v>
      </c>
      <c r="H41" s="2675"/>
      <c r="I41" s="2675"/>
      <c r="J41" s="2676"/>
      <c r="L41" s="29">
        <v>1</v>
      </c>
      <c r="M41" s="702">
        <v>0</v>
      </c>
      <c r="N41" s="714">
        <f t="shared" si="22"/>
        <v>38098</v>
      </c>
      <c r="O41" s="755">
        <v>0.2354</v>
      </c>
      <c r="P41" s="1421">
        <f t="shared" si="23"/>
        <v>8968.0337999999992</v>
      </c>
      <c r="Q41" s="502" t="str">
        <f t="shared" si="12"/>
        <v>n.v.t</v>
      </c>
      <c r="R41" s="502" t="str">
        <f t="shared" si="13"/>
        <v>n.v.t</v>
      </c>
      <c r="S41" s="217" t="str">
        <f t="shared" si="24"/>
        <v>1: 0 tot 38098 tarief: 23,54% - Max. 8968</v>
      </c>
      <c r="T41" s="502" t="str">
        <f t="shared" si="14"/>
        <v>n.v.t</v>
      </c>
      <c r="U41" s="624" t="str">
        <f t="shared" si="15"/>
        <v>n.v.t</v>
      </c>
      <c r="V41" s="502" t="str">
        <f t="shared" si="16"/>
        <v>n.v.t</v>
      </c>
      <c r="W41" s="1017" t="str">
        <f t="shared" si="17"/>
        <v>n.v.t</v>
      </c>
      <c r="X41" s="506" t="str">
        <f t="shared" si="18"/>
        <v>n.v.t</v>
      </c>
      <c r="Y41" s="505" t="str">
        <f t="shared" si="19"/>
        <v>n.v.t</v>
      </c>
      <c r="Z41" s="502" t="str">
        <f t="shared" si="20"/>
        <v>n.v.t</v>
      </c>
      <c r="AA41" s="624" t="str">
        <f t="shared" si="21"/>
        <v>n.v.t</v>
      </c>
      <c r="AB41" s="66">
        <v>4</v>
      </c>
      <c r="AF41" s="2267"/>
    </row>
    <row r="42" spans="1:32" ht="15.75" thickBot="1" x14ac:dyDescent="0.3">
      <c r="A42" s="166"/>
      <c r="B42" s="160" t="s">
        <v>560</v>
      </c>
      <c r="C42" s="228">
        <v>0</v>
      </c>
      <c r="D42" s="322">
        <f>IF(BG060Jaaropgave1_AP&lt;&gt;0,"zie jaarloon (60)",IF(C$38="Maand",C42*12,IF(C$38="4 Weken",C42*13,IF(C$38="Week",C42*52,0))))</f>
        <v>0</v>
      </c>
      <c r="E42" s="228">
        <v>0</v>
      </c>
      <c r="F42" s="1111">
        <f>IF(BG060Jaaropgave1_AG&lt;&gt;0,"zie jaarloon (60)",IF(E$38="Maand",E42*12,IF(E$38="4 Weken",E42*13,IF(E$38="Week",E42*52,0))))</f>
        <v>0</v>
      </c>
      <c r="G42" s="2674" t="s">
        <v>407</v>
      </c>
      <c r="H42" s="2675"/>
      <c r="I42" s="2675"/>
      <c r="J42" s="2676"/>
      <c r="L42" s="29">
        <v>1</v>
      </c>
      <c r="M42" s="702">
        <v>0</v>
      </c>
      <c r="N42" s="714">
        <f t="shared" si="22"/>
        <v>38098</v>
      </c>
      <c r="O42" s="755">
        <v>0.25030000000000002</v>
      </c>
      <c r="P42" s="1421">
        <f t="shared" si="23"/>
        <v>9535.6791000000012</v>
      </c>
      <c r="Q42" s="502" t="str">
        <f t="shared" si="12"/>
        <v>n.v.t</v>
      </c>
      <c r="R42" s="502" t="str">
        <f t="shared" si="13"/>
        <v>n.v.t</v>
      </c>
      <c r="S42" s="217" t="str">
        <f t="shared" si="24"/>
        <v>1: 0 tot 38098 tarief: 25,03% - Max. 9536</v>
      </c>
      <c r="T42" s="502" t="str">
        <f t="shared" si="14"/>
        <v>n.v.t</v>
      </c>
      <c r="U42" s="624" t="str">
        <f t="shared" si="15"/>
        <v>n.v.t</v>
      </c>
      <c r="V42" s="502" t="str">
        <f t="shared" si="16"/>
        <v>n.v.t</v>
      </c>
      <c r="W42" s="1017" t="str">
        <f t="shared" si="17"/>
        <v>n.v.t</v>
      </c>
      <c r="X42" s="506" t="str">
        <f t="shared" si="18"/>
        <v>n.v.t</v>
      </c>
      <c r="Y42" s="505" t="str">
        <f t="shared" si="19"/>
        <v>n.v.t</v>
      </c>
      <c r="Z42" s="502" t="str">
        <f t="shared" si="20"/>
        <v>n.v.t</v>
      </c>
      <c r="AA42" s="624" t="str">
        <f t="shared" si="21"/>
        <v>n.v.t</v>
      </c>
      <c r="AB42" s="66">
        <v>5</v>
      </c>
      <c r="AF42" s="2267"/>
    </row>
    <row r="43" spans="1:32" ht="15.75" thickBot="1" x14ac:dyDescent="0.3">
      <c r="A43" s="161">
        <v>41</v>
      </c>
      <c r="B43" s="111" t="s">
        <v>323</v>
      </c>
      <c r="C43" s="56">
        <f>SUM(C40:C42)</f>
        <v>0</v>
      </c>
      <c r="D43" s="56">
        <f>IF(BG060Jaaropgave1_AP&lt;&gt;0,"zie jaarloon (60)",SUM(D40:D42))</f>
        <v>0</v>
      </c>
      <c r="E43" s="56">
        <f>SUM(E40:E42)</f>
        <v>0</v>
      </c>
      <c r="F43" s="657">
        <f>SUM(F40:F42)</f>
        <v>0</v>
      </c>
      <c r="G43" s="2674"/>
      <c r="H43" s="2675"/>
      <c r="I43" s="2675"/>
      <c r="J43" s="2676"/>
      <c r="L43" s="29">
        <v>1</v>
      </c>
      <c r="M43" s="702">
        <v>0</v>
      </c>
      <c r="N43" s="714">
        <f t="shared" si="22"/>
        <v>38098</v>
      </c>
      <c r="O43" s="755">
        <v>0.26519999999999999</v>
      </c>
      <c r="P43" s="1421">
        <f t="shared" si="23"/>
        <v>10103.3244</v>
      </c>
      <c r="Q43" s="502" t="str">
        <f t="shared" si="12"/>
        <v>n.v.t</v>
      </c>
      <c r="R43" s="502" t="str">
        <f t="shared" si="13"/>
        <v>n.v.t</v>
      </c>
      <c r="S43" s="217" t="str">
        <f t="shared" si="24"/>
        <v>1: 0 tot 38098 tarief: 26,52% - Max. 10103</v>
      </c>
      <c r="T43" s="502" t="str">
        <f t="shared" si="14"/>
        <v>n.v.t</v>
      </c>
      <c r="U43" s="624" t="str">
        <f t="shared" si="15"/>
        <v>n.v.t</v>
      </c>
      <c r="V43" s="502" t="str">
        <f t="shared" si="16"/>
        <v>n.v.t</v>
      </c>
      <c r="W43" s="1017" t="str">
        <f t="shared" si="17"/>
        <v>n.v.t</v>
      </c>
      <c r="X43" s="506" t="str">
        <f t="shared" si="18"/>
        <v>n.v.t</v>
      </c>
      <c r="Y43" s="505" t="str">
        <f t="shared" si="19"/>
        <v>n.v.t</v>
      </c>
      <c r="Z43" s="502" t="str">
        <f t="shared" si="20"/>
        <v>n.v.t</v>
      </c>
      <c r="AA43" s="624" t="str">
        <f t="shared" si="21"/>
        <v>n.v.t</v>
      </c>
      <c r="AB43" s="66">
        <v>6</v>
      </c>
      <c r="AF43" s="2267"/>
    </row>
    <row r="44" spans="1:32" x14ac:dyDescent="0.25">
      <c r="A44" s="274">
        <v>46</v>
      </c>
      <c r="B44" s="343" t="s">
        <v>342</v>
      </c>
      <c r="C44" s="227">
        <v>0</v>
      </c>
      <c r="D44" s="324">
        <f>IF(BG060Jaaropgave1_AP&lt;&gt;0,"zie jaarloon (60)",IF(C$38="Maand",C44*12,IF(C$38="4 Weken",C44*13,IF(C$38="Week",C44*52,0))))</f>
        <v>0</v>
      </c>
      <c r="E44" s="227">
        <v>0</v>
      </c>
      <c r="F44" s="1109">
        <f>IF(BG060Jaaropgave1_AG&lt;&gt;0,"zie jaarloon (60)",IF(E$38="Maand",E44*12,IF(E$38="4 Weken",E44*13,IF(E$38="Week",E44*52,0))))</f>
        <v>0</v>
      </c>
      <c r="G44" s="2674" t="s">
        <v>406</v>
      </c>
      <c r="H44" s="2675"/>
      <c r="I44" s="2675"/>
      <c r="J44" s="2676"/>
      <c r="L44" s="29">
        <v>1</v>
      </c>
      <c r="M44" s="702">
        <v>0</v>
      </c>
      <c r="N44" s="714">
        <f t="shared" si="22"/>
        <v>38098</v>
      </c>
      <c r="O44" s="755">
        <v>0.28010000000000002</v>
      </c>
      <c r="P44" s="1421">
        <f t="shared" si="23"/>
        <v>10670.969700000001</v>
      </c>
      <c r="Q44" s="502" t="str">
        <f t="shared" si="12"/>
        <v>n.v.t</v>
      </c>
      <c r="R44" s="502" t="str">
        <f t="shared" si="13"/>
        <v>n.v.t</v>
      </c>
      <c r="S44" s="217" t="str">
        <f t="shared" si="24"/>
        <v>1: 0 tot 38098 tarief: 28,01% - Max. 10671</v>
      </c>
      <c r="T44" s="502" t="str">
        <f t="shared" si="14"/>
        <v>n.v.t</v>
      </c>
      <c r="U44" s="624" t="str">
        <f t="shared" si="15"/>
        <v>n.v.t</v>
      </c>
      <c r="V44" s="502" t="str">
        <f t="shared" si="16"/>
        <v>n.v.t</v>
      </c>
      <c r="W44" s="1017" t="str">
        <f t="shared" si="17"/>
        <v>n.v.t</v>
      </c>
      <c r="X44" s="506" t="str">
        <f t="shared" si="18"/>
        <v>n.v.t</v>
      </c>
      <c r="Y44" s="505" t="str">
        <f t="shared" si="19"/>
        <v>n.v.t</v>
      </c>
      <c r="Z44" s="502" t="str">
        <f t="shared" si="20"/>
        <v>n.v.t</v>
      </c>
      <c r="AA44" s="624" t="str">
        <f t="shared" si="21"/>
        <v>n.v.t</v>
      </c>
      <c r="AB44" s="66">
        <v>7</v>
      </c>
      <c r="AF44" s="2267"/>
    </row>
    <row r="45" spans="1:32" x14ac:dyDescent="0.25">
      <c r="A45" s="274">
        <v>44</v>
      </c>
      <c r="B45" s="339" t="s">
        <v>324</v>
      </c>
      <c r="C45" s="340">
        <v>0.08</v>
      </c>
      <c r="D45" s="321">
        <f>IF(BG060Jaaropgave1_AP&lt;&gt;0,"zie jaarloon (60)",C45*(D40+D41+D44))</f>
        <v>0</v>
      </c>
      <c r="E45" s="340">
        <v>0.08</v>
      </c>
      <c r="F45" s="1110">
        <f>IF(BG060Jaaropgave1_AG&lt;&gt;0,"zie jaarloon (60)",E45*(F40+F41+F44))</f>
        <v>0</v>
      </c>
      <c r="G45" s="2674" t="s">
        <v>671</v>
      </c>
      <c r="H45" s="2675"/>
      <c r="I45" s="2675"/>
      <c r="J45" s="2676"/>
      <c r="L45" s="29">
        <v>1</v>
      </c>
      <c r="M45" s="702">
        <v>0</v>
      </c>
      <c r="N45" s="714">
        <f>N44</f>
        <v>38098</v>
      </c>
      <c r="O45" s="755">
        <v>0.29509999999999997</v>
      </c>
      <c r="P45" s="1421">
        <f t="shared" si="23"/>
        <v>11242.4247</v>
      </c>
      <c r="Q45" s="502" t="str">
        <f t="shared" si="12"/>
        <v>n.v.t</v>
      </c>
      <c r="R45" s="502" t="str">
        <f t="shared" si="13"/>
        <v>n.v.t</v>
      </c>
      <c r="S45" s="217" t="str">
        <f t="shared" si="24"/>
        <v>1: 0 tot 38098 tarief: 29,51% - Max. 11242</v>
      </c>
      <c r="T45" s="502" t="str">
        <f t="shared" si="14"/>
        <v>n.v.t</v>
      </c>
      <c r="U45" s="624" t="str">
        <f t="shared" si="15"/>
        <v>n.v.t</v>
      </c>
      <c r="V45" s="502" t="str">
        <f t="shared" si="16"/>
        <v>n.v.t</v>
      </c>
      <c r="W45" s="1017" t="str">
        <f t="shared" si="17"/>
        <v>n.v.t</v>
      </c>
      <c r="X45" s="506" t="str">
        <f t="shared" si="18"/>
        <v>n.v.t</v>
      </c>
      <c r="Y45" s="505" t="str">
        <f t="shared" si="19"/>
        <v>n.v.t</v>
      </c>
      <c r="Z45" s="502" t="str">
        <f t="shared" si="20"/>
        <v>n.v.t</v>
      </c>
      <c r="AA45" s="624" t="str">
        <f t="shared" si="21"/>
        <v>n.v.t</v>
      </c>
      <c r="AB45" s="66">
        <v>8</v>
      </c>
      <c r="AF45" s="2267"/>
    </row>
    <row r="46" spans="1:32" x14ac:dyDescent="0.25">
      <c r="A46" s="274"/>
      <c r="B46" s="339" t="s">
        <v>559</v>
      </c>
      <c r="C46" s="97" t="s">
        <v>107</v>
      </c>
      <c r="D46" s="660"/>
      <c r="E46" s="97" t="s">
        <v>107</v>
      </c>
      <c r="F46" s="1112"/>
      <c r="G46" s="2674"/>
      <c r="H46" s="2675"/>
      <c r="I46" s="2675"/>
      <c r="J46" s="2676"/>
      <c r="L46" s="29">
        <v>1</v>
      </c>
      <c r="M46" s="702">
        <v>0</v>
      </c>
      <c r="N46" s="714">
        <f t="shared" si="22"/>
        <v>38098</v>
      </c>
      <c r="O46" s="755">
        <v>0.31</v>
      </c>
      <c r="P46" s="1421">
        <f t="shared" si="23"/>
        <v>11810.07</v>
      </c>
      <c r="Q46" s="502" t="str">
        <f t="shared" si="12"/>
        <v>n.v.t</v>
      </c>
      <c r="R46" s="502" t="str">
        <f t="shared" si="13"/>
        <v>n.v.t</v>
      </c>
      <c r="S46" s="217" t="str">
        <f t="shared" si="24"/>
        <v>1: 0 tot 38098 tarief: 31% - Max. 11810</v>
      </c>
      <c r="T46" s="502" t="str">
        <f t="shared" si="14"/>
        <v>n.v.t</v>
      </c>
      <c r="U46" s="624" t="str">
        <f t="shared" si="15"/>
        <v>n.v.t</v>
      </c>
      <c r="V46" s="502" t="str">
        <f t="shared" si="16"/>
        <v>n.v.t</v>
      </c>
      <c r="W46" s="1017" t="str">
        <f t="shared" si="17"/>
        <v>n.v.t</v>
      </c>
      <c r="X46" s="506" t="str">
        <f t="shared" si="18"/>
        <v>n.v.t</v>
      </c>
      <c r="Y46" s="505" t="str">
        <f t="shared" si="19"/>
        <v>n.v.t</v>
      </c>
      <c r="Z46" s="502" t="str">
        <f t="shared" si="20"/>
        <v>n.v.t</v>
      </c>
      <c r="AA46" s="624" t="str">
        <f t="shared" si="21"/>
        <v>n.v.t</v>
      </c>
      <c r="AB46" s="66">
        <v>9</v>
      </c>
      <c r="AF46" s="2267"/>
    </row>
    <row r="47" spans="1:32" x14ac:dyDescent="0.25">
      <c r="A47" s="273">
        <v>47</v>
      </c>
      <c r="B47" s="339" t="s">
        <v>604</v>
      </c>
      <c r="C47" s="36">
        <v>0</v>
      </c>
      <c r="D47" s="321">
        <f>IF(BG060Jaaropgave1_AP&lt;&gt;0,"zie jaarloon (60)",IF(C$38="Anders",0,C47))</f>
        <v>0</v>
      </c>
      <c r="E47" s="36">
        <v>0</v>
      </c>
      <c r="F47" s="1110">
        <f>IF(BG060Jaaropgave1_AG&lt;&gt;0,"zie jaarloon (60)",IF(E$38="Anders",0,E47))</f>
        <v>0</v>
      </c>
      <c r="G47" s="2674"/>
      <c r="H47" s="2675"/>
      <c r="I47" s="2675"/>
      <c r="J47" s="2676"/>
      <c r="L47" s="29">
        <v>1</v>
      </c>
      <c r="M47" s="702">
        <v>0</v>
      </c>
      <c r="N47" s="714">
        <f t="shared" si="22"/>
        <v>38098</v>
      </c>
      <c r="O47" s="755">
        <v>0.32490000000000002</v>
      </c>
      <c r="P47" s="1421">
        <f t="shared" si="23"/>
        <v>12377.715300000002</v>
      </c>
      <c r="Q47" s="502" t="str">
        <f t="shared" si="12"/>
        <v>n.v.t</v>
      </c>
      <c r="R47" s="502" t="str">
        <f t="shared" si="13"/>
        <v>n.v.t</v>
      </c>
      <c r="S47" s="217" t="str">
        <f t="shared" si="24"/>
        <v>1: 0 tot 38098 tarief: 32,49% - Max. 12378</v>
      </c>
      <c r="T47" s="502" t="str">
        <f t="shared" si="14"/>
        <v>n.v.t</v>
      </c>
      <c r="U47" s="624" t="str">
        <f t="shared" si="15"/>
        <v>n.v.t</v>
      </c>
      <c r="V47" s="502" t="str">
        <f t="shared" si="16"/>
        <v>n.v.t</v>
      </c>
      <c r="W47" s="1017" t="str">
        <f t="shared" si="17"/>
        <v>n.v.t</v>
      </c>
      <c r="X47" s="506" t="str">
        <f t="shared" si="18"/>
        <v>n.v.t</v>
      </c>
      <c r="Y47" s="505" t="str">
        <f t="shared" si="19"/>
        <v>n.v.t</v>
      </c>
      <c r="Z47" s="502" t="str">
        <f t="shared" si="20"/>
        <v>n.v.t</v>
      </c>
      <c r="AA47" s="624" t="str">
        <f t="shared" si="21"/>
        <v>n.v.t</v>
      </c>
      <c r="AB47" s="66">
        <v>10</v>
      </c>
      <c r="AF47" s="2267"/>
    </row>
    <row r="48" spans="1:32" x14ac:dyDescent="0.25">
      <c r="A48" s="326">
        <v>48</v>
      </c>
      <c r="B48" s="341" t="s">
        <v>325</v>
      </c>
      <c r="C48" s="1455">
        <v>0</v>
      </c>
      <c r="D48" s="322">
        <f>IF(BG060Jaaropgave1_AP&lt;&gt;0,"zie jaarloon (60)",IF(C46="Ja",(D40+D45)*C48,D40*C48))</f>
        <v>0</v>
      </c>
      <c r="E48" s="1455">
        <v>0.08</v>
      </c>
      <c r="F48" s="1111">
        <f>IF(BG060Jaaropgave1_AG&lt;&gt;0,"zie jaarloon (60)",IF(E46="Ja",(F40+F45)*E48,F40*E48))</f>
        <v>0</v>
      </c>
      <c r="G48" s="2674" t="s">
        <v>671</v>
      </c>
      <c r="H48" s="2675"/>
      <c r="I48" s="2675"/>
      <c r="J48" s="2676"/>
      <c r="L48" s="29">
        <v>1</v>
      </c>
      <c r="M48" s="702">
        <v>0</v>
      </c>
      <c r="N48" s="714">
        <f t="shared" si="22"/>
        <v>38098</v>
      </c>
      <c r="O48" s="755">
        <v>0.33979999999999999</v>
      </c>
      <c r="P48" s="1421">
        <f t="shared" si="23"/>
        <v>12945.3606</v>
      </c>
      <c r="Q48" s="502" t="str">
        <f t="shared" si="12"/>
        <v>n.v.t</v>
      </c>
      <c r="R48" s="502" t="str">
        <f t="shared" si="13"/>
        <v>n.v.t</v>
      </c>
      <c r="S48" s="217" t="str">
        <f t="shared" si="24"/>
        <v>1: 0 tot 38098 tarief: 33,98% - Max. 12945</v>
      </c>
      <c r="T48" s="502" t="str">
        <f t="shared" si="14"/>
        <v>n.v.t</v>
      </c>
      <c r="U48" s="624" t="str">
        <f t="shared" si="15"/>
        <v>n.v.t</v>
      </c>
      <c r="V48" s="502" t="str">
        <f t="shared" si="16"/>
        <v>n.v.t</v>
      </c>
      <c r="W48" s="1017" t="str">
        <f t="shared" si="17"/>
        <v>n.v.t</v>
      </c>
      <c r="X48" s="506" t="str">
        <f t="shared" si="18"/>
        <v>n.v.t</v>
      </c>
      <c r="Y48" s="505" t="str">
        <f t="shared" si="19"/>
        <v>n.v.t</v>
      </c>
      <c r="Z48" s="502" t="str">
        <f t="shared" si="20"/>
        <v>n.v.t</v>
      </c>
      <c r="AA48" s="624" t="str">
        <f t="shared" si="21"/>
        <v>n.v.t</v>
      </c>
      <c r="AB48" s="66">
        <v>11</v>
      </c>
      <c r="AF48" s="2267"/>
    </row>
    <row r="49" spans="1:32" ht="15.75" thickBot="1" x14ac:dyDescent="0.3">
      <c r="A49" s="326" t="s">
        <v>677</v>
      </c>
      <c r="B49" s="341" t="str">
        <f>"Individueel keuze budget (IKB/PKB), vul % per "&amp;LOWER(C38)&amp;" in"</f>
        <v>Individueel keuze budget (IKB/PKB), vul % per maand in</v>
      </c>
      <c r="C49" s="342">
        <v>0</v>
      </c>
      <c r="D49" s="322">
        <f>IF(BG060Jaaropgave1_AP&lt;&gt;0,"zie jaarloon (60)",IF(C$38="Maand",D40*C49*12,IF(C$38="4 Weken",D40*C49*13,IF(C$38="Week",D40*C49*52,0))))</f>
        <v>0</v>
      </c>
      <c r="E49" s="342">
        <v>0</v>
      </c>
      <c r="F49" s="322">
        <f>IF(BG060Jaaropgave1_AG&lt;&gt;0,"zie jaarloon (60)",IF(E$38="Maand",F40*E49*12,IF(E$38="4 Weken",F40*E49*13,IF(E$38="Week",F40*E49*52,0))))</f>
        <v>0</v>
      </c>
      <c r="G49" s="2674" t="s">
        <v>670</v>
      </c>
      <c r="H49" s="2675"/>
      <c r="I49" s="2675"/>
      <c r="J49" s="2676"/>
      <c r="L49" s="31">
        <v>1</v>
      </c>
      <c r="M49" s="734">
        <v>0</v>
      </c>
      <c r="N49" s="733">
        <f t="shared" si="22"/>
        <v>38098</v>
      </c>
      <c r="O49" s="735">
        <v>0.35470000000000002</v>
      </c>
      <c r="P49" s="736">
        <f t="shared" si="23"/>
        <v>13513.0059</v>
      </c>
      <c r="Q49" s="503" t="str">
        <f t="shared" si="12"/>
        <v>n.v.t</v>
      </c>
      <c r="R49" s="503" t="str">
        <f t="shared" si="13"/>
        <v>n.v.t</v>
      </c>
      <c r="S49" s="218" t="str">
        <f t="shared" si="24"/>
        <v>1: 0 tot 38098 tarief: 35,47% - Max. 13513</v>
      </c>
      <c r="T49" s="503" t="str">
        <f t="shared" si="14"/>
        <v>n.v.t</v>
      </c>
      <c r="U49" s="1418" t="str">
        <f t="shared" si="15"/>
        <v>n.v.t</v>
      </c>
      <c r="V49" s="503" t="str">
        <f t="shared" si="16"/>
        <v>n.v.t</v>
      </c>
      <c r="W49" s="1018" t="str">
        <f t="shared" si="17"/>
        <v>n.v.t</v>
      </c>
      <c r="X49" s="1412" t="str">
        <f t="shared" si="18"/>
        <v>n.v.t</v>
      </c>
      <c r="Y49" s="1414" t="str">
        <f t="shared" si="19"/>
        <v>n.v.t</v>
      </c>
      <c r="Z49" s="503" t="str">
        <f t="shared" si="20"/>
        <v>n.v.t</v>
      </c>
      <c r="AA49" s="1418" t="str">
        <f t="shared" si="21"/>
        <v>n.v.t</v>
      </c>
      <c r="AB49" s="30">
        <v>12</v>
      </c>
      <c r="AF49" s="2267"/>
    </row>
    <row r="50" spans="1:32" ht="15" customHeight="1" thickBot="1" x14ac:dyDescent="0.3">
      <c r="A50" s="326" t="s">
        <v>677</v>
      </c>
      <c r="B50" s="341" t="s">
        <v>672</v>
      </c>
      <c r="C50" s="228">
        <v>0</v>
      </c>
      <c r="D50" s="321">
        <f>IF(BG060Jaaropgave1_AP&lt;&gt;0,"zie jaarloon (60)",IF(C49=0,0,IF(C50&lt;=D49,C50*-1,D49*-1)))</f>
        <v>0</v>
      </c>
      <c r="E50" s="228">
        <v>0</v>
      </c>
      <c r="F50" s="321">
        <f>IF(BG060Jaaropgave1_AG&lt;&gt;0,"zie jaarloon (60)",IF(E49=0,0,IF(E50&lt;=F49,E50*-1,F49*-1)))</f>
        <v>0</v>
      </c>
      <c r="G50" s="2729" t="s">
        <v>673</v>
      </c>
      <c r="H50" s="2730"/>
      <c r="I50" s="2730"/>
      <c r="J50" s="2731"/>
      <c r="L50" s="69">
        <v>2</v>
      </c>
      <c r="M50" s="737">
        <f>N38</f>
        <v>38098</v>
      </c>
      <c r="N50" s="738">
        <v>75518</v>
      </c>
      <c r="O50" s="753">
        <v>0.36969999999999997</v>
      </c>
      <c r="P50" s="739">
        <f>O50*(N50-N38)</f>
        <v>13834.173999999999</v>
      </c>
      <c r="Q50" s="505" t="str">
        <f>IF(AND(BGAOWLeeftijdBereikt_AP="Ja",YEAR($C$9)=BGJaarBerekening),IF(AL94VerzInkomen_AP&lt;$M50,0,IF(AL94VerzInkomen_AP&gt;$N50,($N50-$N38)*$O50,(AL94VerzInkomen_AP-$N38)*$O50)),"n.v.t")</f>
        <v>n.v.t</v>
      </c>
      <c r="R50" s="505" t="str">
        <f>IF(AND(BGAOWLeeftijdBereikt_AG="Ja",YEAR($D$9)=BGJaarBerekening),IF(AL94VerzInkomen_AG&lt;$M50,0,IF(AL94VerzInkomen_AG&gt;$N50,($N50-$N38)*$O50,(AL94VerzInkomen_AG-$N38)*$O50)),"n.v.t")</f>
        <v>n.v.t</v>
      </c>
      <c r="S50" s="223" t="str">
        <f>L50&amp;": "&amp;M50&amp;" t/m "&amp;N50&amp;" tarief: "&amp;(O50*100)&amp;"% - Max. "&amp;ROUND(P50,0)</f>
        <v>2: 38098 t/m 75518 tarief: 36,97% - Max. 13834</v>
      </c>
      <c r="T50" s="505" t="str">
        <f>IF(AND(BGAOWLeeftijdBereikt_AP="Ja",YEAR($C$9)=BGJaarBerekening),IF($T$5&lt;$M50,0,IF($T$5&gt;$N50,($N50-$N38)*$O50,($T$5-$N$38)*$O50)),"n.v.t")</f>
        <v>n.v.t</v>
      </c>
      <c r="U50" s="1419" t="str">
        <f>IF(AND(BGAOWLeeftijdBereikt_AG="Ja",YEAR($D$9)=BGJaarBerekening),IF($U$5&lt;$M50,0,IF($U$5&gt;$N50,($N50-$N38)*$O50,($U$5-$N$38)*$O50)),"n.v.t")</f>
        <v>n.v.t</v>
      </c>
      <c r="V50" s="505" t="str">
        <f>IF(AND(BGAOWLeeftijdBereikt_AP="Ja",YEAR($C$9)=BGJaarBerekening),IF($V$5&lt;$M50,0,IF($V$5&gt;$N50,($N50-$N38)*$O50,($V$5-$N38)*$O50)),"n.v.t")</f>
        <v>n.v.t</v>
      </c>
      <c r="W50" s="1415" t="str">
        <f>IF(AND(BGAOWLeeftijdBereikt_AG="Ja",YEAR($D$9)=BGJaarBerekening),IF($W$5&lt;$M50,0,IF($W$5&gt;$N50,($N50-$N38)*$O50,($W$5-$N38)*$O50)),"n.v.t")</f>
        <v>n.v.t</v>
      </c>
      <c r="X50" s="1411" t="str">
        <f>IF(AND(BGAOWLeeftijdBereikt_AG="Ja",YEAR($D$9)=BGJaarBerekening),IF($X$5&lt;M50-(SUM(Y$38:Y49)-SUM(X$38:X49))-P50,0,IF($X$5&gt;N50-(SUM(Y$38:Y49)-SUM(X$38:X49))-P50,N50-M50-P50,$X$5-SUM(X$38:X49))),"n.v.t")</f>
        <v>n.v.t</v>
      </c>
      <c r="Y50" s="501" t="str">
        <f t="shared" si="19"/>
        <v>n.v.t</v>
      </c>
      <c r="Z50" s="505" t="str">
        <f>IF(AND(BGAOWLeeftijdBereikt_AP="Ja",YEAR($C$9)=BGJaarBerekening),IF($Z$5&lt;$M50,0,IF($Z$5&gt;$N50,($N50-$N38)*$O50,($Z$5-$N$38)*$O50)),"n.v.t")</f>
        <v>n.v.t</v>
      </c>
      <c r="AA50" s="1419" t="str">
        <f>IF(AND(BGAOWLeeftijdBereikt_AG="Ja",YEAR($D$9)=BGJaarBerekening),IF($AA$5&lt;$M50,0,IF($AA$5&gt;$N50,($N50-$N38)*$O50,($AA$5-$N$38)*$O50)),"n.v.t")</f>
        <v>n.v.t</v>
      </c>
      <c r="AB50" s="67"/>
      <c r="AF50" s="2267"/>
    </row>
    <row r="51" spans="1:32" ht="14.45" customHeight="1" thickBot="1" x14ac:dyDescent="0.3">
      <c r="A51" s="161"/>
      <c r="B51" s="111" t="s">
        <v>2</v>
      </c>
      <c r="C51" s="56"/>
      <c r="D51" s="56">
        <f>SUM(D43:D50)</f>
        <v>0</v>
      </c>
      <c r="E51" s="56"/>
      <c r="F51" s="56">
        <f>SUM(F43:F50)</f>
        <v>0</v>
      </c>
      <c r="L51" s="31">
        <v>3</v>
      </c>
      <c r="M51" s="733">
        <f>N50</f>
        <v>75518</v>
      </c>
      <c r="N51" s="734"/>
      <c r="O51" s="740">
        <v>0.495</v>
      </c>
      <c r="P51" s="741">
        <f>IF(Q$35&lt;M51,0,(Q$35-N50)*O51)</f>
        <v>0</v>
      </c>
      <c r="Q51" s="507" t="str">
        <f>IF(AND(BGAOWLeeftijdBereikt_AP="Ja",YEAR($C$9)=BGJaarBerekening),IF(AL94VerzInkomen_AP&lt;$M51,0,(AL94VerzInkomen_AP-$N50)*$O51),"n.v.t")</f>
        <v>n.v.t</v>
      </c>
      <c r="R51" s="507" t="str">
        <f>IF(AND(BGAOWLeeftijdBereikt_AG="Ja",YEAR($D$9)=BGJaarBerekening),IF(AL94VerzInkomen_AG&lt;$M51,0,(AL94VerzInkomen_AG-$N50)*$O51),"n.v.t")</f>
        <v>n.v.t</v>
      </c>
      <c r="S51" s="218" t="str">
        <f>L51&amp;": vanaf "&amp;M51&amp;" tarief: "&amp;(O51*100)&amp;"%"</f>
        <v>3: vanaf 75518 tarief: 49,5%</v>
      </c>
      <c r="T51" s="507" t="str">
        <f>IF(AND(BGAOWLeeftijdBereikt_AP="Ja",YEAR($C$9)=BGJaarBerekening),IF($T$5&lt;$M51,0,($T$5-$N50)*$O51),"n.v.t")</f>
        <v>n.v.t</v>
      </c>
      <c r="U51" s="1420" t="str">
        <f>IF(AND(BGAOWLeeftijdBereikt_AG="Ja",YEAR($D$9)=BGJaarBerekening),IF($U$5&lt;$M51,0,($U$5-$N50)*$O51),"n.v.t")</f>
        <v>n.v.t</v>
      </c>
      <c r="V51" s="507" t="str">
        <f>IF(AND(BGAOWLeeftijdBereikt_AP="Ja",YEAR($C$9)=BGJaarBerekening),IF($V$5&lt;$M51,0,($V$5-$N50)*$O51),"n.v.t")</f>
        <v>n.v.t</v>
      </c>
      <c r="W51" s="1416" t="str">
        <f>IF(AND(BGAOWLeeftijdBereikt_AG="Ja",YEAR($D$9)=BGJaarBerekening),IF($W$5&lt;$M51,0,($W$5-$N50)*$O51),"n.v.t")</f>
        <v>n.v.t</v>
      </c>
      <c r="X51" s="508" t="str">
        <f>IF(AND(BGAOWLeeftijdBereikt_AG="Ja",YEAR($D$9)=BGJaarBerekening),IF($X$5&lt;M51-(SUM(Y38:Y50)-SUM(X38:X50)),0,IF($X$5&gt;=M51-SUM(P$16:P19),$X$5-SUM(X$16:X19))),"n.v.t")</f>
        <v>n.v.t</v>
      </c>
      <c r="Y51" s="507" t="str">
        <f t="shared" si="19"/>
        <v>n.v.t</v>
      </c>
      <c r="Z51" s="507" t="str">
        <f>IF(AND(BGAOWLeeftijdBereikt_AP="Ja",,YEAR($C$9)=BGJaarBerekening),IF($Z$5&lt;$M51,0,($Z$5-$N50)*$O51),"n.v.t")</f>
        <v>n.v.t</v>
      </c>
      <c r="AA51" s="1420" t="str">
        <f>IF(AND(BGAOWLeeftijdBereikt_AG="Ja",YEAR($D$9)=BGJaarBerekening),IF($AA$5&lt;$M51,0,($AA$5-$N50)*$O51),"n.v.t")</f>
        <v>n.v.t</v>
      </c>
      <c r="AB51" s="30"/>
      <c r="AF51" s="2267"/>
    </row>
    <row r="52" spans="1:32" ht="15.75" thickBot="1" x14ac:dyDescent="0.3">
      <c r="G52" s="2743" t="s">
        <v>1072</v>
      </c>
      <c r="H52" s="2744"/>
      <c r="I52" s="2744"/>
      <c r="J52" s="2745"/>
      <c r="O52" s="2801" t="s">
        <v>197</v>
      </c>
      <c r="P52" s="2802"/>
      <c r="Q52" s="415">
        <f>SUM(Q38:Q51)</f>
        <v>0</v>
      </c>
      <c r="R52" s="415">
        <f>SUM(R38:R51)</f>
        <v>0</v>
      </c>
      <c r="T52" s="415">
        <f t="shared" ref="T52:Y52" si="25">SUM(T38:T51)</f>
        <v>0</v>
      </c>
      <c r="U52" s="902">
        <f t="shared" si="25"/>
        <v>0</v>
      </c>
      <c r="V52" s="415">
        <f>SUM(V38:V51)</f>
        <v>0</v>
      </c>
      <c r="W52" s="1417">
        <f>SUM(W38:W51)</f>
        <v>0</v>
      </c>
      <c r="X52" s="1413">
        <f t="shared" si="25"/>
        <v>0</v>
      </c>
      <c r="Y52" s="482">
        <f t="shared" si="25"/>
        <v>0</v>
      </c>
      <c r="Z52" s="415">
        <f>SUM(Z38:Z51)</f>
        <v>0</v>
      </c>
      <c r="AA52" s="1417">
        <f>SUM(AA38:AA51)</f>
        <v>0</v>
      </c>
      <c r="AF52" s="2267"/>
    </row>
    <row r="53" spans="1:32" ht="15.75" thickBot="1" x14ac:dyDescent="0.3">
      <c r="A53" s="158">
        <v>41</v>
      </c>
      <c r="B53" s="104" t="s">
        <v>607</v>
      </c>
      <c r="C53" s="61" t="str">
        <f>BGPartner_AP</f>
        <v>Alimentatie Plichtig</v>
      </c>
      <c r="E53" s="22" t="str">
        <f>BGPartner_AG</f>
        <v>Alimentatie Gerechtigd</v>
      </c>
      <c r="G53" s="2746"/>
      <c r="H53" s="2747"/>
      <c r="I53" s="2747"/>
      <c r="J53" s="2748"/>
      <c r="AF53" s="2267"/>
    </row>
    <row r="54" spans="1:32" ht="15.75" thickBot="1" x14ac:dyDescent="0.3">
      <c r="B54" s="107" t="s">
        <v>91</v>
      </c>
      <c r="C54" s="44" t="s">
        <v>92</v>
      </c>
      <c r="D54" s="23" t="s">
        <v>91</v>
      </c>
      <c r="E54" s="44" t="s">
        <v>92</v>
      </c>
      <c r="F54" s="2" t="s">
        <v>851</v>
      </c>
      <c r="L54" s="2">
        <v>115</v>
      </c>
      <c r="M54" s="13" t="s">
        <v>802</v>
      </c>
      <c r="O54" s="32" t="s">
        <v>140</v>
      </c>
      <c r="AF54" s="2267"/>
    </row>
    <row r="55" spans="1:32" ht="15.75" thickBot="1" x14ac:dyDescent="0.3">
      <c r="A55" s="9" t="s">
        <v>240</v>
      </c>
      <c r="B55" s="108" t="s">
        <v>71</v>
      </c>
      <c r="C55" s="22" t="str">
        <f>IF(C54="Maand","Maandloon",IF(C54="4 Weken","4-Wekenloon",IF(C54="Week","Weekloon",IF(C54="Anders","Anders",""))))</f>
        <v>Maandloon</v>
      </c>
      <c r="D55" s="22" t="s">
        <v>674</v>
      </c>
      <c r="E55" s="22" t="str">
        <f>IF(E54="Maand","Maandloon",IF(E54="4 Weken","4-Wekenloon",IF(E54="Week","Weekloon",IF(E54="Anders","Anders",""))))</f>
        <v>Maandloon</v>
      </c>
      <c r="F55" s="22" t="s">
        <v>674</v>
      </c>
      <c r="G55" s="2677" t="s">
        <v>208</v>
      </c>
      <c r="H55" s="2678"/>
      <c r="I55" s="2678"/>
      <c r="J55" s="2679"/>
      <c r="O55" s="2751" t="s">
        <v>130</v>
      </c>
      <c r="P55" s="2752"/>
      <c r="Q55" s="22" t="str">
        <f>BGPartner_AP</f>
        <v>Alimentatie Plichtig</v>
      </c>
      <c r="R55" s="68" t="str">
        <f>BGPartner_AG</f>
        <v>Alimentatie Gerechtigd</v>
      </c>
      <c r="S55" s="58"/>
      <c r="AF55" s="2267"/>
    </row>
    <row r="56" spans="1:32" ht="15.75" thickBot="1" x14ac:dyDescent="0.3">
      <c r="A56" s="67"/>
      <c r="B56" s="159" t="s">
        <v>72</v>
      </c>
      <c r="C56" s="227">
        <v>0</v>
      </c>
      <c r="D56" s="324">
        <f>IF(BG060Jaaropgave2_AP&lt;&gt;0,"zie jaarloon (60)",IF(C$54="Maand",C56*12,IF(C$54="4 Weken",C56*13,IF(C$54="Week",C56*52,0))))</f>
        <v>0</v>
      </c>
      <c r="E56" s="227">
        <v>0</v>
      </c>
      <c r="F56" s="324">
        <f>IF(BG060Jaaropgave2_AG&lt;&gt;0,"zie jaarloon (60)",IF(E$54="Maand",E56*12,IF(E$54="4 Weken",E56*13,IF(E$54="Week",E56*52,0))))</f>
        <v>0</v>
      </c>
      <c r="G56" s="2735" t="s">
        <v>408</v>
      </c>
      <c r="H56" s="2736"/>
      <c r="I56" s="2736"/>
      <c r="J56" s="2737"/>
      <c r="O56" s="2831">
        <v>524</v>
      </c>
      <c r="P56" s="2832"/>
      <c r="Q56" s="654" t="str">
        <f>IF(AND(YEAR($C$9)&lt;=BGJaarBerekening,Q59="Ja"),$O56,"n.v.t")</f>
        <v>n.v.t</v>
      </c>
      <c r="R56" s="654" t="str">
        <f>IF(AND(YEAR($D$9)&lt;=BGJaarBerekening,R59="Ja"),$O56,"n.v.t")</f>
        <v>n.v.t</v>
      </c>
      <c r="S56" s="58"/>
      <c r="AF56" s="2267"/>
    </row>
    <row r="57" spans="1:32" ht="14.25" customHeight="1" x14ac:dyDescent="0.25">
      <c r="A57" s="66"/>
      <c r="B57" s="146" t="s">
        <v>73</v>
      </c>
      <c r="C57" s="36">
        <v>0</v>
      </c>
      <c r="D57" s="321">
        <f>IF(BG060Jaaropgave2_AP&lt;&gt;0,"zie jaarloon (60)",IF(C$54="Maand",C57*12,IF(C$54="4 Weken",C57*13,IF(C$54="Week",C57*52,0))))</f>
        <v>0</v>
      </c>
      <c r="E57" s="36">
        <v>0</v>
      </c>
      <c r="F57" s="321">
        <f>IF(BG060Jaaropgave2_AG&lt;&gt;0,"zie jaarloon (60)",IF(E$54="Maand",E57*12,IF(E$54="4 Weken",E57*13,IF(E$54="Week",E57*52,0))))</f>
        <v>0</v>
      </c>
      <c r="G57" s="2738" t="s">
        <v>408</v>
      </c>
      <c r="H57" s="2739"/>
      <c r="I57" s="2739"/>
      <c r="J57" s="2740"/>
      <c r="O57" s="2689" t="s">
        <v>195</v>
      </c>
      <c r="P57" s="2690"/>
      <c r="Q57" s="655">
        <f>YEAR($C$9)</f>
        <v>2049</v>
      </c>
      <c r="R57" s="649">
        <f>YEAR($D$9)</f>
        <v>2049</v>
      </c>
      <c r="AF57" s="2267"/>
    </row>
    <row r="58" spans="1:32" ht="15.75" thickBot="1" x14ac:dyDescent="0.3">
      <c r="A58" s="166"/>
      <c r="B58" s="160" t="s">
        <v>560</v>
      </c>
      <c r="C58" s="228">
        <v>0</v>
      </c>
      <c r="D58" s="322">
        <f>IF(BG060Jaaropgave2_AP&lt;&gt;0,"zie jaarloon (60)",IF(C$54="Maand",C58*12,IF(C$54="4 Weken",C58*13,IF(C$54="Week",C58*52,0))))</f>
        <v>0</v>
      </c>
      <c r="E58" s="228">
        <v>0</v>
      </c>
      <c r="F58" s="322">
        <f>IF(BG060Jaaropgave2_AG&lt;&gt;0,"zie jaarloon (60)",IF(E$54="Maand",E58*12,IF(E$54="4 Weken",E58*13,IF(E$54="Week",E58*52,0))))</f>
        <v>0</v>
      </c>
      <c r="G58" s="2738" t="s">
        <v>407</v>
      </c>
      <c r="H58" s="2739"/>
      <c r="I58" s="2739"/>
      <c r="J58" s="2740"/>
      <c r="O58" s="2749" t="s">
        <v>194</v>
      </c>
      <c r="P58" s="2750"/>
      <c r="Q58" s="656">
        <f>BGJaarBerekening</f>
        <v>2024</v>
      </c>
      <c r="R58" s="650">
        <f>BGJaarBerekening</f>
        <v>2024</v>
      </c>
      <c r="AF58" s="2267"/>
    </row>
    <row r="59" spans="1:32" ht="15.75" thickBot="1" x14ac:dyDescent="0.3">
      <c r="A59" s="161">
        <v>41</v>
      </c>
      <c r="B59" s="111" t="s">
        <v>323</v>
      </c>
      <c r="C59" s="56">
        <f>SUM(C56:C58)</f>
        <v>0</v>
      </c>
      <c r="D59" s="56">
        <f>SUM(D56:D58)</f>
        <v>0</v>
      </c>
      <c r="E59" s="56">
        <f>SUM(E56:E58)</f>
        <v>0</v>
      </c>
      <c r="F59" s="56">
        <f>SUM(F56:F58)</f>
        <v>0</v>
      </c>
      <c r="G59" s="2738"/>
      <c r="H59" s="2739"/>
      <c r="I59" s="2739"/>
      <c r="J59" s="2740"/>
      <c r="M59" s="2694" t="s">
        <v>138</v>
      </c>
      <c r="N59" s="2695"/>
      <c r="O59" s="2696"/>
      <c r="P59" s="2696"/>
      <c r="Q59" s="234" t="s">
        <v>107</v>
      </c>
      <c r="R59" s="234" t="s">
        <v>107</v>
      </c>
      <c r="S59" s="58"/>
      <c r="AF59" s="2267"/>
    </row>
    <row r="60" spans="1:32" x14ac:dyDescent="0.25">
      <c r="A60" s="274">
        <v>46</v>
      </c>
      <c r="B60" s="343" t="s">
        <v>342</v>
      </c>
      <c r="C60" s="227">
        <v>0</v>
      </c>
      <c r="D60" s="324">
        <f>IF(BG060Jaaropgave2_AP&lt;&gt;0,"zie jaarloon (60)",IF(C$54="Maand",C60*12,IF(C$54="4 Weken",C60*13,IF(C$54="Week",C60*52,0))))</f>
        <v>0</v>
      </c>
      <c r="E60" s="227">
        <v>0</v>
      </c>
      <c r="F60" s="324">
        <f>IF(BG060Jaaropgave2_AG&lt;&gt;0,"zie jaarloon (60)",IF(E$54="Maand",E60*12,IF(E$54="4 Weken",E60*13,IF(E$54="Week",E60*52,0))))</f>
        <v>0</v>
      </c>
      <c r="G60" s="2738" t="s">
        <v>406</v>
      </c>
      <c r="H60" s="2739"/>
      <c r="I60" s="2739"/>
      <c r="J60" s="2740"/>
      <c r="M60" s="2686" t="s">
        <v>1011</v>
      </c>
      <c r="N60" s="2741"/>
      <c r="O60" s="2741"/>
      <c r="P60" s="2741"/>
      <c r="Q60" s="2741"/>
      <c r="R60" s="2741"/>
      <c r="S60" s="2742"/>
      <c r="AF60" s="2267"/>
    </row>
    <row r="61" spans="1:32" x14ac:dyDescent="0.25">
      <c r="A61" s="274">
        <v>44</v>
      </c>
      <c r="B61" s="339" t="s">
        <v>324</v>
      </c>
      <c r="C61" s="340">
        <v>0.08</v>
      </c>
      <c r="D61" s="321">
        <f>IF(BG060Jaaropgave2_AP&lt;&gt;0,"zie jaarloon (60)",C61*(D56+D57+D60))</f>
        <v>0</v>
      </c>
      <c r="E61" s="340">
        <v>0.08</v>
      </c>
      <c r="F61" s="321">
        <f>IF(BG060Jaaropgave2_AG&lt;&gt;0,"zie jaarloon (60)",E61*(F56+F57+F60))</f>
        <v>0</v>
      </c>
      <c r="G61" s="2674" t="s">
        <v>671</v>
      </c>
      <c r="H61" s="2675"/>
      <c r="I61" s="2675"/>
      <c r="J61" s="2676"/>
      <c r="M61" s="2691" t="s">
        <v>555</v>
      </c>
      <c r="N61" s="2692"/>
      <c r="O61" s="2692"/>
      <c r="P61" s="2692"/>
      <c r="Q61" s="2692"/>
      <c r="R61" s="2692"/>
      <c r="S61" s="2693"/>
      <c r="AF61" s="2267"/>
    </row>
    <row r="62" spans="1:32" ht="14.45" customHeight="1" x14ac:dyDescent="0.25">
      <c r="A62" s="274"/>
      <c r="B62" s="339" t="s">
        <v>559</v>
      </c>
      <c r="C62" s="97" t="s">
        <v>107</v>
      </c>
      <c r="D62" s="660"/>
      <c r="E62" s="97" t="s">
        <v>107</v>
      </c>
      <c r="F62" s="660"/>
      <c r="G62" s="2674"/>
      <c r="H62" s="2675"/>
      <c r="I62" s="2675"/>
      <c r="J62" s="2676"/>
      <c r="M62" s="2691" t="s">
        <v>141</v>
      </c>
      <c r="N62" s="2692"/>
      <c r="O62" s="2692"/>
      <c r="P62" s="2692"/>
      <c r="Q62" s="2692"/>
      <c r="R62" s="2692"/>
      <c r="S62" s="2693"/>
      <c r="AF62" s="2267"/>
    </row>
    <row r="63" spans="1:32" ht="14.45" customHeight="1" thickBot="1" x14ac:dyDescent="0.3">
      <c r="A63" s="273">
        <v>47</v>
      </c>
      <c r="B63" s="339" t="s">
        <v>604</v>
      </c>
      <c r="C63" s="36">
        <v>0</v>
      </c>
      <c r="D63" s="321">
        <f>IF(BG060Jaaropgave2_AP&lt;&gt;0,"zie jaarloon (60)",IF(C$54="Anders",0,C63))</f>
        <v>0</v>
      </c>
      <c r="E63" s="36">
        <v>0</v>
      </c>
      <c r="F63" s="321">
        <f>IF(BG060Jaaropgave2_AG&lt;&gt;0,"zie jaarloon (60)",IF(E$54="Anders",0,E63))</f>
        <v>0</v>
      </c>
      <c r="G63" s="2674"/>
      <c r="H63" s="2675"/>
      <c r="I63" s="2675"/>
      <c r="J63" s="2676"/>
      <c r="M63" s="2732" t="s">
        <v>142</v>
      </c>
      <c r="N63" s="2733"/>
      <c r="O63" s="2733"/>
      <c r="P63" s="2733"/>
      <c r="Q63" s="2733"/>
      <c r="R63" s="2733"/>
      <c r="S63" s="2734"/>
      <c r="AF63" s="2267"/>
    </row>
    <row r="64" spans="1:32" ht="14.45" customHeight="1" x14ac:dyDescent="0.25">
      <c r="A64" s="326">
        <v>48</v>
      </c>
      <c r="B64" s="341" t="s">
        <v>325</v>
      </c>
      <c r="C64" s="342">
        <v>0</v>
      </c>
      <c r="D64" s="322">
        <f>IF(BG060Jaaropgave2_AP&lt;&gt;0,"zie jaarloon (60)",IF(C60="Ja",(D56+D61)*C64,D56*C64))</f>
        <v>0</v>
      </c>
      <c r="E64" s="342">
        <v>0</v>
      </c>
      <c r="F64" s="322">
        <f>IF(BG060Jaaropgave2_AG&lt;&gt;0,"zie jaarloon (60)",IF(E60="Ja",(F56+F61)*E64,F56*E64))</f>
        <v>0</v>
      </c>
      <c r="G64" s="2674" t="s">
        <v>671</v>
      </c>
      <c r="H64" s="2675"/>
      <c r="I64" s="2675"/>
      <c r="J64" s="2676"/>
      <c r="Q64" s="2"/>
      <c r="R64" s="2"/>
      <c r="AF64" s="2267"/>
    </row>
    <row r="65" spans="1:32" ht="14.45" customHeight="1" thickBot="1" x14ac:dyDescent="0.3">
      <c r="A65" s="326" t="s">
        <v>677</v>
      </c>
      <c r="B65" s="341" t="str">
        <f>"Individueel keuze budget (IKB/PKB), vul % per "&amp;LOWER(C54)&amp;" in"</f>
        <v>Individueel keuze budget (IKB/PKB), vul % per maand in</v>
      </c>
      <c r="C65" s="342">
        <v>0</v>
      </c>
      <c r="D65" s="322">
        <f>IF(BG060Jaaropgave2_AP&lt;&gt;0,"zie jaarloon (60)",IF(C$38="Maand",D56*C65*12,IF(C$38="4 Weken",D56*C65*13,IF(C$38="Week",D56*C65*52,0))))</f>
        <v>0</v>
      </c>
      <c r="E65" s="342">
        <v>0</v>
      </c>
      <c r="F65" s="322">
        <f>IF(BG060Jaaropgave2_AG&lt;&gt;0,"zie jaarloon (60)",IF(E$38="Maand",F56*E65*12,IF(E$38="4 Weken",F56*E65*13,IF(E$38="Week",F56*E65*52,0))))</f>
        <v>0</v>
      </c>
      <c r="G65" s="2674" t="s">
        <v>670</v>
      </c>
      <c r="H65" s="2675"/>
      <c r="I65" s="2675"/>
      <c r="J65" s="2676"/>
      <c r="L65" s="2">
        <v>115</v>
      </c>
      <c r="M65" s="24" t="s">
        <v>1095</v>
      </c>
      <c r="AF65" s="2267"/>
    </row>
    <row r="66" spans="1:32" ht="14.45" customHeight="1" thickBot="1" x14ac:dyDescent="0.3">
      <c r="A66" s="326" t="s">
        <v>677</v>
      </c>
      <c r="B66" s="341" t="s">
        <v>672</v>
      </c>
      <c r="C66" s="228">
        <v>0</v>
      </c>
      <c r="D66" s="321">
        <f>IF(BG060Jaaropgave2_AP&lt;&gt;0,"zie jaarloon (60)",IF(C65=0,0,IF(C66&lt;=D65,C66*-1,D65*-1)))</f>
        <v>0</v>
      </c>
      <c r="E66" s="228">
        <v>0</v>
      </c>
      <c r="F66" s="321">
        <f>IF(BG060Jaaropgave2_AG&lt;&gt;0,"zie jaarloon (60)",IF(E65=0,0,IF(E66&lt;=F65,E66*-1,F65*-1)))</f>
        <v>0</v>
      </c>
      <c r="G66" s="2729" t="s">
        <v>673</v>
      </c>
      <c r="H66" s="2730"/>
      <c r="I66" s="2730"/>
      <c r="J66" s="2731"/>
      <c r="M66" s="2686" t="s">
        <v>431</v>
      </c>
      <c r="N66" s="2687"/>
      <c r="O66" s="2687"/>
      <c r="P66" s="2687"/>
      <c r="Q66" s="2687"/>
      <c r="R66" s="2687"/>
      <c r="S66" s="2688"/>
      <c r="AF66" s="2267"/>
    </row>
    <row r="67" spans="1:32" ht="14.45" customHeight="1" thickBot="1" x14ac:dyDescent="0.3">
      <c r="A67" s="161"/>
      <c r="B67" s="111" t="s">
        <v>600</v>
      </c>
      <c r="C67" s="56"/>
      <c r="D67" s="56">
        <f>SUM(D59:D66)</f>
        <v>0</v>
      </c>
      <c r="E67" s="56"/>
      <c r="F67" s="56">
        <f>SUM(F59:F66)</f>
        <v>0</v>
      </c>
      <c r="M67" s="152" t="str">
        <f>"1) U kind is op 1 januari "&amp;BGJaarBerekening&amp;" jonger dan 12 jaar"</f>
        <v>1) U kind is op 1 januari 2024 jonger dan 12 jaar</v>
      </c>
      <c r="N67" s="2"/>
      <c r="O67" s="2"/>
      <c r="P67" s="2"/>
      <c r="Q67" s="2"/>
      <c r="R67" s="2"/>
      <c r="S67" s="153"/>
      <c r="AF67" s="2267"/>
    </row>
    <row r="68" spans="1:32" ht="14.45" customHeight="1" x14ac:dyDescent="0.25">
      <c r="M68" s="152" t="s">
        <v>654</v>
      </c>
      <c r="N68" s="2"/>
      <c r="O68" s="2"/>
      <c r="P68" s="2"/>
      <c r="Q68" s="2"/>
      <c r="R68" s="2"/>
      <c r="S68" s="153"/>
      <c r="AF68" s="2267"/>
    </row>
    <row r="69" spans="1:32" ht="14.45" customHeight="1" thickBot="1" x14ac:dyDescent="0.3">
      <c r="B69" s="104" t="s">
        <v>596</v>
      </c>
      <c r="M69" s="152" t="s">
        <v>137</v>
      </c>
      <c r="N69" s="2"/>
      <c r="O69" s="2"/>
      <c r="P69" s="2"/>
      <c r="Q69" s="2"/>
      <c r="R69" s="2"/>
      <c r="S69" s="153"/>
      <c r="AF69" s="2267"/>
    </row>
    <row r="70" spans="1:32" ht="14.45" customHeight="1" thickBot="1" x14ac:dyDescent="0.3">
      <c r="A70" s="9" t="s">
        <v>240</v>
      </c>
      <c r="B70" s="108" t="s">
        <v>71</v>
      </c>
      <c r="C70" s="22" t="str">
        <f>C53</f>
        <v>Alimentatie Plichtig</v>
      </c>
      <c r="D70" s="118" t="s">
        <v>1</v>
      </c>
      <c r="E70" s="22" t="str">
        <f>E53</f>
        <v>Alimentatie Gerechtigd</v>
      </c>
      <c r="F70" s="68" t="s">
        <v>1</v>
      </c>
      <c r="G70" s="2677" t="s">
        <v>208</v>
      </c>
      <c r="H70" s="2678"/>
      <c r="I70" s="2678"/>
      <c r="J70" s="2679"/>
      <c r="M70" s="152" t="s">
        <v>1092</v>
      </c>
      <c r="N70" s="2"/>
      <c r="O70" s="2"/>
      <c r="P70" s="2"/>
      <c r="Q70" s="2"/>
      <c r="R70" s="2"/>
      <c r="S70" s="153"/>
      <c r="AF70" s="2267"/>
    </row>
    <row r="71" spans="1:32" x14ac:dyDescent="0.25">
      <c r="A71" s="64">
        <v>1</v>
      </c>
      <c r="B71" s="848" t="s">
        <v>597</v>
      </c>
      <c r="C71" s="856" t="s">
        <v>599</v>
      </c>
      <c r="D71" s="852">
        <f>D51</f>
        <v>0</v>
      </c>
      <c r="E71" s="856" t="s">
        <v>599</v>
      </c>
      <c r="F71" s="854">
        <f>F51</f>
        <v>0</v>
      </c>
      <c r="G71" s="2735"/>
      <c r="H71" s="2736"/>
      <c r="I71" s="2736"/>
      <c r="J71" s="2737"/>
      <c r="M71" s="152" t="s">
        <v>1093</v>
      </c>
      <c r="N71" s="2"/>
      <c r="O71" s="2"/>
      <c r="P71" s="2"/>
      <c r="Q71" s="2"/>
      <c r="R71" s="2"/>
      <c r="S71" s="153"/>
      <c r="AF71" s="2267"/>
    </row>
    <row r="72" spans="1:32" ht="15.75" thickBot="1" x14ac:dyDescent="0.3">
      <c r="A72" s="31">
        <v>2</v>
      </c>
      <c r="B72" s="849" t="s">
        <v>598</v>
      </c>
      <c r="C72" s="857" t="s">
        <v>599</v>
      </c>
      <c r="D72" s="853">
        <f>D67</f>
        <v>0</v>
      </c>
      <c r="E72" s="857" t="s">
        <v>599</v>
      </c>
      <c r="F72" s="855">
        <f>F67</f>
        <v>0</v>
      </c>
      <c r="G72" s="2805"/>
      <c r="H72" s="2806"/>
      <c r="I72" s="2806"/>
      <c r="J72" s="2807"/>
      <c r="M72" s="152" t="str">
        <f>"3) Uw arbeidsinkomen is hoger dan het voor "&amp;BGJaarBerekening&amp;" vastgestelde bedrag a € 6.073."</f>
        <v>3) Uw arbeidsinkomen is hoger dan het voor 2024 vastgestelde bedrag a € 6.073.</v>
      </c>
      <c r="N72" s="2"/>
      <c r="O72" s="2"/>
      <c r="P72" s="2"/>
      <c r="Q72" s="2"/>
      <c r="R72" s="2"/>
      <c r="S72" s="153"/>
      <c r="AF72" s="2267"/>
    </row>
    <row r="73" spans="1:32" ht="15.75" thickBot="1" x14ac:dyDescent="0.3">
      <c r="A73" s="161"/>
      <c r="B73" s="111" t="s">
        <v>2</v>
      </c>
      <c r="C73" s="56"/>
      <c r="D73" s="56">
        <f>SUM(D71:D72)</f>
        <v>0</v>
      </c>
      <c r="E73" s="56"/>
      <c r="F73" s="56">
        <f>SUM(F71:F72)</f>
        <v>0</v>
      </c>
      <c r="M73" s="152" t="s">
        <v>1096</v>
      </c>
      <c r="N73" s="2"/>
      <c r="O73" s="2"/>
      <c r="P73" s="2"/>
      <c r="Q73" s="2"/>
      <c r="R73" s="2"/>
      <c r="S73" s="153"/>
      <c r="AF73" s="2267"/>
    </row>
    <row r="74" spans="1:32" ht="15.75" thickBot="1" x14ac:dyDescent="0.3">
      <c r="E74" s="21"/>
      <c r="M74" s="154" t="s">
        <v>1097</v>
      </c>
      <c r="N74" s="155"/>
      <c r="O74" s="155"/>
      <c r="P74" s="155"/>
      <c r="Q74" s="155"/>
      <c r="R74" s="155"/>
      <c r="S74" s="156"/>
      <c r="AF74" s="2267"/>
    </row>
    <row r="75" spans="1:32" ht="15" customHeight="1" thickBot="1" x14ac:dyDescent="0.3">
      <c r="A75" s="158">
        <v>45</v>
      </c>
      <c r="B75" s="426" t="s">
        <v>609</v>
      </c>
      <c r="M75" s="2694" t="s">
        <v>138</v>
      </c>
      <c r="N75" s="2695"/>
      <c r="O75" s="2695"/>
      <c r="P75" s="2695"/>
      <c r="Q75" s="838" t="s">
        <v>107</v>
      </c>
      <c r="R75" s="838" t="s">
        <v>106</v>
      </c>
      <c r="S75" s="2194" t="s">
        <v>564</v>
      </c>
      <c r="U75" s="21"/>
      <c r="AF75" s="2267"/>
    </row>
    <row r="76" spans="1:32" ht="16.5" thickBot="1" x14ac:dyDescent="0.3">
      <c r="A76" s="43" t="s">
        <v>240</v>
      </c>
      <c r="B76" s="145" t="s">
        <v>71</v>
      </c>
      <c r="C76" s="1106" t="str">
        <f>BGPartner_AP</f>
        <v>Alimentatie Plichtig</v>
      </c>
      <c r="D76" s="57" t="s">
        <v>1</v>
      </c>
      <c r="E76" s="57" t="str">
        <f>BGPartner_AG</f>
        <v>Alimentatie Gerechtigd</v>
      </c>
      <c r="F76" s="57" t="s">
        <v>1</v>
      </c>
      <c r="G76" s="2677" t="s">
        <v>208</v>
      </c>
      <c r="H76" s="2678"/>
      <c r="I76" s="2678"/>
      <c r="J76" s="2679"/>
      <c r="M76" s="2721" t="str">
        <f>CONCATENATE("Als één van beiden in ",C17," de AOW leeftijd bereikt gelden speciale tarieven, hiervoor moet een aanvraag worden ingediend !!!")</f>
        <v>Als één van beiden in 2024 de AOW leeftijd bereikt gelden speciale tarieven, hiervoor moet een aanvraag worden ingediend !!!</v>
      </c>
      <c r="N76" s="2722"/>
      <c r="O76" s="2722"/>
      <c r="P76" s="2722"/>
      <c r="Q76" s="2722"/>
      <c r="R76" s="2722"/>
      <c r="S76" s="2722"/>
      <c r="AF76" s="2267"/>
    </row>
    <row r="77" spans="1:32" ht="15.75" thickBot="1" x14ac:dyDescent="0.3">
      <c r="A77" s="66"/>
      <c r="B77" s="765" t="s">
        <v>610</v>
      </c>
      <c r="C77" s="96">
        <v>0</v>
      </c>
      <c r="D77" s="2449"/>
      <c r="E77" s="96">
        <v>0</v>
      </c>
      <c r="F77" s="2449"/>
      <c r="G77" s="2810" t="s">
        <v>663</v>
      </c>
      <c r="H77" s="2811"/>
      <c r="I77" s="2811"/>
      <c r="J77" s="2812"/>
      <c r="AF77" s="2267"/>
    </row>
    <row r="78" spans="1:32" ht="14.45" customHeight="1" thickBot="1" x14ac:dyDescent="0.3">
      <c r="A78" s="427"/>
      <c r="B78" s="2442" t="s">
        <v>437</v>
      </c>
      <c r="C78" s="39">
        <v>0</v>
      </c>
      <c r="D78" s="2450"/>
      <c r="E78" s="39">
        <v>0</v>
      </c>
      <c r="F78" s="2450"/>
      <c r="G78" s="2813"/>
      <c r="H78" s="2814"/>
      <c r="I78" s="2814"/>
      <c r="J78" s="2815"/>
      <c r="L78" s="2">
        <v>115</v>
      </c>
      <c r="M78" s="13" t="s">
        <v>266</v>
      </c>
      <c r="O78" s="32" t="s">
        <v>1094</v>
      </c>
      <c r="T78" s="2684" t="s">
        <v>492</v>
      </c>
      <c r="U78" s="2685"/>
      <c r="V78" s="543" t="s">
        <v>494</v>
      </c>
      <c r="W78" s="2193"/>
      <c r="AF78" s="2267"/>
    </row>
    <row r="79" spans="1:32" ht="15.75" thickBot="1" x14ac:dyDescent="0.3">
      <c r="A79" s="161">
        <v>45</v>
      </c>
      <c r="B79" s="111" t="s">
        <v>608</v>
      </c>
      <c r="C79" s="56">
        <f>SUM(C77:C78)</f>
        <v>0</v>
      </c>
      <c r="D79" s="56">
        <f>46*C79</f>
        <v>0</v>
      </c>
      <c r="E79" s="56">
        <f>SUM(E77:E78)</f>
        <v>0</v>
      </c>
      <c r="F79" s="56">
        <f>46*E79</f>
        <v>0</v>
      </c>
      <c r="G79" s="2816"/>
      <c r="H79" s="2817"/>
      <c r="I79" s="2817"/>
      <c r="J79" s="2818"/>
      <c r="M79" s="120" t="str">
        <f>"AOW leeftijd wordt in "&amp;BGJaarBerekening&amp;" nog NIET bereikt"</f>
        <v>AOW leeftijd wordt in 2024 nog NIET bereikt</v>
      </c>
      <c r="P79" s="93" t="s">
        <v>191</v>
      </c>
      <c r="Q79" s="71">
        <f>BG041eaArbeidsloon_AP+'Alimentatie 2024-02'!D17+'Alimentatie 2024-02'!D18+IF('Alimentatie 2024-02'!D19="zie jaarloon (60)",0,'Alimentatie 2024-02'!D19)-'Alimentatie 2024-02'!D30+IF('Alimentatie 2024-02'!D32="zie jaarloon (60)",0,'Alimentatie 2024-02'!D32)-IF('Alimentatie 2024-02'!D33="zie jaarloon (60)",0,'Alimentatie 2024-02'!D33)-IF(AL55PremieWW_AP="zie jaarloon (60)",0,AL55PremieWW_AP)-'Alimentatie 2024-02'!D41+IF('Alimentatie 2024-02'!D43="zie jaarloon (60)",0,'Alimentatie 2024-02'!D43)-'Alimentatie 2024-02'!D54+AL70WinstOnderneming_AP+AL78OverigeWerkz_AP+AL60Arbeidsinkomen_AP</f>
        <v>0</v>
      </c>
      <c r="R79" s="71">
        <f>BG041eaArbeidsloon_AG+'Alimentatie 2024-02'!F17+'Alimentatie 2024-02'!F18+IF('Alimentatie 2024-02'!F19="zie jaarloon (60)",0,'Alimentatie 2024-02'!F19)-'Alimentatie 2024-02'!F30+IF('Alimentatie 2024-02'!F32="zie jaarloon (60)",0,'Alimentatie 2024-02'!F32)-IF('Alimentatie 2024-02'!F33="zie jaarloon (60)",0,'Alimentatie 2024-02'!F33)-IF(AL55PremieWW_AG="zie jaarloon (60)",0,AL55PremieWW_AG)-'Alimentatie 2024-02'!F41+IF('Alimentatie 2024-02'!F43="zie jaarloon (60)",0,'Alimentatie 2024-02'!F43)-'Alimentatie 2024-02'!F54+AL70WinstOnderneming_AG+AL78OverigeWerkz_AG+AL60Arbeidsinkomen_AG</f>
        <v>0</v>
      </c>
      <c r="S79" s="58"/>
      <c r="T79" s="541">
        <f>Q79</f>
        <v>0</v>
      </c>
      <c r="U79" s="540">
        <f>R79</f>
        <v>0</v>
      </c>
      <c r="V79" s="482">
        <f ca="1">Behoefteberekening!F12-(Behoefteberekening!F56-Behoefteberekening!F58-Behoefteberekening!F60+SUBSTITUTE(Behoefteberekening!F61,"n.v.t",0))</f>
        <v>0</v>
      </c>
      <c r="W79" s="2193"/>
      <c r="AF79" s="2267"/>
    </row>
    <row r="80" spans="1:32" ht="16.5" thickBot="1" x14ac:dyDescent="0.3">
      <c r="A80" s="323"/>
      <c r="B80" s="428" t="s">
        <v>438</v>
      </c>
      <c r="C80" s="2833"/>
      <c r="D80" s="2834"/>
      <c r="E80" s="2834"/>
      <c r="F80" s="2834"/>
      <c r="G80" s="2834"/>
      <c r="H80" s="2834"/>
      <c r="I80" s="2834"/>
      <c r="J80" s="2835"/>
      <c r="M80" s="14" t="s">
        <v>129</v>
      </c>
      <c r="N80" s="15" t="s">
        <v>68</v>
      </c>
      <c r="O80" s="37" t="s">
        <v>130</v>
      </c>
      <c r="P80" s="38" t="s">
        <v>78</v>
      </c>
      <c r="Q80" s="22" t="str">
        <f>BGPartner_AP</f>
        <v>Alimentatie Plichtig</v>
      </c>
      <c r="R80" s="68" t="str">
        <f>BGPartner_AG</f>
        <v>Alimentatie Gerechtigd</v>
      </c>
      <c r="S80" s="119" t="s">
        <v>132</v>
      </c>
      <c r="T80" s="22" t="str">
        <f>BGPartner_AP</f>
        <v>Alimentatie Plichtig</v>
      </c>
      <c r="U80" s="68" t="str">
        <f>BGPartner_AG</f>
        <v>Alimentatie Gerechtigd</v>
      </c>
      <c r="V80" s="22" t="str">
        <f>BGPartner_AG</f>
        <v>Alimentatie Gerechtigd</v>
      </c>
      <c r="W80" s="2193"/>
      <c r="AF80" s="2267"/>
    </row>
    <row r="81" spans="1:32" ht="15.75" thickBot="1" x14ac:dyDescent="0.3">
      <c r="A81" s="161">
        <v>45</v>
      </c>
      <c r="B81" s="111" t="s">
        <v>608</v>
      </c>
      <c r="C81" s="2298"/>
      <c r="D81" s="53">
        <v>0</v>
      </c>
      <c r="E81" s="2467"/>
      <c r="F81" s="53">
        <v>0</v>
      </c>
      <c r="G81" s="2808" t="s">
        <v>439</v>
      </c>
      <c r="H81" s="2808"/>
      <c r="I81" s="2808"/>
      <c r="J81" s="2809"/>
      <c r="M81" s="416">
        <v>0</v>
      </c>
      <c r="N81" s="707">
        <v>6074</v>
      </c>
      <c r="O81" s="1041"/>
      <c r="P81" s="743"/>
      <c r="Q81" s="1042">
        <v>0</v>
      </c>
      <c r="R81" s="1043">
        <v>0</v>
      </c>
      <c r="S81" s="40" t="s">
        <v>136</v>
      </c>
      <c r="T81" s="619">
        <v>0</v>
      </c>
      <c r="U81" s="619">
        <v>0</v>
      </c>
      <c r="V81" s="619">
        <v>0</v>
      </c>
      <c r="W81" s="2193"/>
      <c r="AF81" s="2267"/>
    </row>
    <row r="82" spans="1:32" ht="15.75" thickBot="1" x14ac:dyDescent="0.3">
      <c r="A82" s="2"/>
      <c r="B82" s="2"/>
      <c r="C82" s="2"/>
      <c r="D82" s="2"/>
      <c r="M82" s="621">
        <f>N81</f>
        <v>6074</v>
      </c>
      <c r="N82" s="701">
        <v>31838</v>
      </c>
      <c r="O82" s="747">
        <v>0</v>
      </c>
      <c r="P82" s="745">
        <v>0.1145</v>
      </c>
      <c r="Q82" s="634">
        <f>IF(AND($Q$79&gt;$M82,$Q$79&lt;=$N82),O82+$P82*($Q$79-(M82-1)),0)</f>
        <v>0</v>
      </c>
      <c r="R82" s="635" t="str">
        <f>IF(AND($R$79&gt;$M82,$R$79&lt;=$N82),$P82*($R$79-(M82-1)),"--")</f>
        <v>--</v>
      </c>
      <c r="S82" s="1004" t="str">
        <f>P82*100&amp;"% x (arbeidsinkomen - € "&amp;N81&amp;")"</f>
        <v>11,45% x (arbeidsinkomen - € 6074)</v>
      </c>
      <c r="T82" s="303">
        <f>IF(AND($T$79&gt;$M82,$T$79&lt;=$N82),O82+$P82*($T$79-(M82-1)),0)</f>
        <v>0</v>
      </c>
      <c r="U82" s="303" t="str">
        <f>IF(AND($U$79&gt;$M82,$U$79&lt;=$N82),$P82*($U$79-(M82-1)),"--")</f>
        <v>--</v>
      </c>
      <c r="V82" s="303" t="str">
        <f ca="1">IF(AND($V$79&gt;$M82,$V$79&lt;=$N82),$P82*($V$79-(M82-1)),"--")</f>
        <v>--</v>
      </c>
      <c r="W82" s="2193"/>
      <c r="AF82" s="2267"/>
    </row>
    <row r="83" spans="1:32" ht="16.5" thickBot="1" x14ac:dyDescent="0.3">
      <c r="B83" s="763" t="s">
        <v>648</v>
      </c>
      <c r="C83" s="61" t="str">
        <f>BGPartner_AP</f>
        <v>Alimentatie Plichtig</v>
      </c>
      <c r="E83" s="22" t="str">
        <f>BGPartner_AG</f>
        <v>Alimentatie Gerechtigd</v>
      </c>
      <c r="M83" s="622">
        <f>N82</f>
        <v>31838</v>
      </c>
      <c r="N83" s="748">
        <v>0</v>
      </c>
      <c r="O83" s="748">
        <v>2950</v>
      </c>
      <c r="P83" s="746"/>
      <c r="Q83" s="1044" t="str">
        <f>IF($Q$79&gt;$M83,$O83,"--")</f>
        <v>--</v>
      </c>
      <c r="R83" s="1045">
        <f>IF($R$79&gt;$M83,$O83,0)</f>
        <v>0</v>
      </c>
      <c r="S83" s="1006" t="str">
        <f>"€ "&amp;O83</f>
        <v>€ 2950</v>
      </c>
      <c r="T83" s="620" t="str">
        <f>IF($T$79&gt;$M83,$O83,"--")</f>
        <v>--</v>
      </c>
      <c r="U83" s="620">
        <f>IF($U$79&gt;$M83,$O83,0)</f>
        <v>0</v>
      </c>
      <c r="V83" s="620">
        <f ca="1">IF($V$79&gt;$M83,$O83,0)</f>
        <v>0</v>
      </c>
      <c r="W83" s="2193"/>
      <c r="AF83" s="2267"/>
    </row>
    <row r="84" spans="1:32" ht="15.75" thickBot="1" x14ac:dyDescent="0.3">
      <c r="A84" s="9" t="s">
        <v>240</v>
      </c>
      <c r="B84" s="108" t="s">
        <v>153</v>
      </c>
      <c r="C84" s="27" t="str">
        <f>C39</f>
        <v>Maandloon</v>
      </c>
      <c r="D84" s="22" t="s">
        <v>95</v>
      </c>
      <c r="E84" s="118" t="str">
        <f>E39</f>
        <v>Maandloon</v>
      </c>
      <c r="F84" s="22" t="s">
        <v>308</v>
      </c>
      <c r="G84" s="2677" t="s">
        <v>208</v>
      </c>
      <c r="H84" s="2678"/>
      <c r="I84" s="2678"/>
      <c r="J84" s="2679"/>
      <c r="M84" s="2712" t="s">
        <v>131</v>
      </c>
      <c r="N84" s="2719"/>
      <c r="O84" s="2719"/>
      <c r="P84" s="2720"/>
      <c r="Q84" s="417" t="str">
        <f>IF($Q$75="Ja",IF(BGAOWLeeftijdBereikt_AP="Ja","zie AOW-tabel",SUM(Q81:Q83)),"n.v.t")</f>
        <v>n.v.t</v>
      </c>
      <c r="R84" s="415">
        <f>IF($R$75="Ja",IF(BGAOWLeeftijdBereikt_AG="Ja","zie AOW-tabel",SUM(R81:R83)),"n.v.t")</f>
        <v>0</v>
      </c>
      <c r="T84" s="42" t="str">
        <f>IF($Q$75="Ja",IF(BGAOWLeeftijdBereikt_AP="Ja","zie AOW-tabel",SUM(T81:T83)),"n.v.t")</f>
        <v>n.v.t</v>
      </c>
      <c r="U84" s="415">
        <f>IF($R$75="Ja",IF(BGAOWLeeftijdBereikt_AG="Ja","zie AOW-tabel",SUM(U81:U83)),"n.v.t")</f>
        <v>0</v>
      </c>
      <c r="V84" s="415">
        <f ca="1">IF(BGAOWLeeftijdBereikt_AG="Ja","Zie AOW-tabel",SUM(V81:V83))</f>
        <v>0</v>
      </c>
      <c r="W84" s="2193"/>
      <c r="AF84" s="2267"/>
    </row>
    <row r="85" spans="1:32" x14ac:dyDescent="0.25">
      <c r="A85" s="274">
        <v>49</v>
      </c>
      <c r="B85" s="666" t="s">
        <v>59</v>
      </c>
      <c r="C85" s="2292">
        <v>0</v>
      </c>
      <c r="D85" s="987">
        <f>IF(BG060Jaaropgave1_AP&lt;&gt;0,"zie jaarloon (60)",IF(Basisgegevens!C$38="Maand",C85*12,IF(Basisgegevens!C$38="4 Weken",C85*13,IF(Basisgegevens!C$38="Weekloon",C85*52,0))))</f>
        <v>0</v>
      </c>
      <c r="E85" s="2295">
        <v>0</v>
      </c>
      <c r="F85" s="987">
        <f>IF(BG060Jaaropgave1_AG&lt;&gt;0,"zie jaarloon (60)",IF(Basisgegevens!E$38="Maand",E85*12,IF(Basisgegevens!E$38="4 Weken",E85*13,IF(Basisgegevens!E$38="Weekloon",E85*52,0))))</f>
        <v>0</v>
      </c>
      <c r="G85" s="2735" t="s">
        <v>440</v>
      </c>
      <c r="H85" s="2736"/>
      <c r="I85" s="2736"/>
      <c r="J85" s="2737"/>
      <c r="AF85" s="2267"/>
    </row>
    <row r="86" spans="1:32" ht="15.75" thickBot="1" x14ac:dyDescent="0.3">
      <c r="A86" s="274">
        <v>51</v>
      </c>
      <c r="B86" s="667" t="s">
        <v>241</v>
      </c>
      <c r="C86" s="2293">
        <v>0</v>
      </c>
      <c r="D86" s="987">
        <f>IF(BG060Jaaropgave1_AP&lt;&gt;0,"zie jaarloon (60)",IF(Basisgegevens!C$38="Maand",C86*12,IF(Basisgegevens!C$38="4 Weken",C86*13,IF(Basisgegevens!C$38="Weekloon",C86*52,0))))</f>
        <v>0</v>
      </c>
      <c r="E86" s="2296">
        <v>0</v>
      </c>
      <c r="F86" s="987">
        <f>IF(BG060Jaaropgave1_AG&lt;&gt;0,"zie jaarloon (60)",IF(Basisgegevens!E$38="Maand",E86*12,IF(Basisgegevens!E$38="4 Weken",E86*13,IF(Basisgegevens!E$38="Weekloon",E86*52,0))))</f>
        <v>0</v>
      </c>
      <c r="G86" s="2738" t="s">
        <v>440</v>
      </c>
      <c r="H86" s="2739"/>
      <c r="I86" s="2739"/>
      <c r="J86" s="2740"/>
      <c r="M86" s="13" t="s">
        <v>265</v>
      </c>
      <c r="O86" s="32" t="s">
        <v>1094</v>
      </c>
      <c r="AF86" s="2267"/>
    </row>
    <row r="87" spans="1:32" ht="15.75" thickBot="1" x14ac:dyDescent="0.3">
      <c r="A87" s="273">
        <v>52</v>
      </c>
      <c r="B87" s="668" t="s">
        <v>280</v>
      </c>
      <c r="C87" s="2294">
        <v>0</v>
      </c>
      <c r="D87" s="988">
        <f>IF(BG060Jaaropgave1_AP&lt;&gt;0,"zie jaarloon (60)",IF(Basisgegevens!C$38="Maand",C87*12,IF(Basisgegevens!C$38="4 Weken",C87*13,IF(Basisgegevens!C$38="Weekloon",C87*52,0))))</f>
        <v>0</v>
      </c>
      <c r="E87" s="2297">
        <v>0</v>
      </c>
      <c r="F87" s="988">
        <f>IF(BG060Jaaropgave1_AG&lt;&gt;0,"zie jaarloon (60)",IF(Basisgegevens!E$38="Maand",E87*12,IF(Basisgegevens!E$38="4 Weken",E87*13,IF(Basisgegevens!E$38="Weekloon",E87*52,0))))</f>
        <v>0</v>
      </c>
      <c r="G87" s="2738" t="s">
        <v>440</v>
      </c>
      <c r="H87" s="2739"/>
      <c r="I87" s="2739"/>
      <c r="J87" s="2740"/>
      <c r="M87" s="120" t="str">
        <f>"AOW leeftijd is VOOR "&amp;BGJaarBerekening&amp;" al bereikt"</f>
        <v>AOW leeftijd is VOOR 2024 al bereikt</v>
      </c>
      <c r="P87" s="58"/>
      <c r="Q87" s="58"/>
      <c r="R87" s="58"/>
      <c r="S87" s="58"/>
      <c r="T87" s="2684" t="s">
        <v>492</v>
      </c>
      <c r="U87" s="2685"/>
      <c r="V87" s="543" t="s">
        <v>494</v>
      </c>
      <c r="W87" s="2193"/>
      <c r="AF87" s="2267"/>
    </row>
    <row r="88" spans="1:32" ht="15.75" thickBot="1" x14ac:dyDescent="0.3">
      <c r="A88" s="273">
        <v>53</v>
      </c>
      <c r="B88" s="668" t="s">
        <v>281</v>
      </c>
      <c r="C88" s="2294">
        <v>0</v>
      </c>
      <c r="D88" s="988">
        <f>IF(BG060Jaaropgave1_AP&lt;&gt;0,"zie jaarloon (60)",IF(Basisgegevens!C$38="Maand",C88*12,IF(Basisgegevens!C$38="4 Weken",C88*13,IF(Basisgegevens!C$38="Weekloon",C88*52,0))))</f>
        <v>0</v>
      </c>
      <c r="E88" s="2297">
        <v>0</v>
      </c>
      <c r="F88" s="988">
        <f>IF(BG060Jaaropgave1_AG&lt;&gt;0,"zie jaarloon (60)",IF(Basisgegevens!E$38="Maand",E88*12,IF(Basisgegevens!E$38="4 Weken",E88*13,IF(Basisgegevens!E$38="Weekloon",E88*52,0))))</f>
        <v>0</v>
      </c>
      <c r="G88" s="2738" t="s">
        <v>411</v>
      </c>
      <c r="H88" s="2739"/>
      <c r="I88" s="2739"/>
      <c r="J88" s="2740"/>
      <c r="M88" s="14" t="s">
        <v>129</v>
      </c>
      <c r="N88" s="15" t="s">
        <v>68</v>
      </c>
      <c r="O88" s="37" t="s">
        <v>130</v>
      </c>
      <c r="P88" s="38" t="s">
        <v>78</v>
      </c>
      <c r="Q88" s="22" t="str">
        <f>BGPartner_AP</f>
        <v>Alimentatie Plichtig</v>
      </c>
      <c r="R88" s="68" t="str">
        <f>BGPartner_AG</f>
        <v>Alimentatie Gerechtigd</v>
      </c>
      <c r="S88" s="119" t="s">
        <v>132</v>
      </c>
      <c r="T88" s="22" t="str">
        <f>BGPartner_AP</f>
        <v>Alimentatie Plichtig</v>
      </c>
      <c r="U88" s="68" t="str">
        <f>BGPartner_AG</f>
        <v>Alimentatie Gerechtigd</v>
      </c>
      <c r="V88" s="68" t="str">
        <f>BGPartner_AG</f>
        <v>Alimentatie Gerechtigd</v>
      </c>
      <c r="W88" s="2193"/>
      <c r="AF88" s="2267"/>
    </row>
    <row r="89" spans="1:32" x14ac:dyDescent="0.25">
      <c r="A89" s="273">
        <v>55</v>
      </c>
      <c r="B89" s="668" t="s">
        <v>63</v>
      </c>
      <c r="C89" s="1647">
        <v>0</v>
      </c>
      <c r="D89" s="988">
        <f>IF(BG060Jaaropgave1_AP&lt;&gt;0,"zie jaarloon (60)",IF(Basisgegevens!C$38="Maand",C89*12,IF(Basisgegevens!C$38="4 Weken",C89*13,IF(Basisgegevens!C$38="Weekloon",C89*52,0))))</f>
        <v>0</v>
      </c>
      <c r="E89" s="1647">
        <v>0</v>
      </c>
      <c r="F89" s="988">
        <f>IF(BG060Jaaropgave1_AG&lt;&gt;0,"zie jaarloon (60)",IF(Basisgegevens!E$38="Maand",E89*12,IF(Basisgegevens!E$38="4 Weken",E89*13,IF(Basisgegevens!E$38="Weekloon",E89*52,0))))</f>
        <v>0</v>
      </c>
      <c r="G89" s="2738" t="s">
        <v>664</v>
      </c>
      <c r="H89" s="2739"/>
      <c r="I89" s="2739"/>
      <c r="J89" s="2740"/>
      <c r="M89" s="416">
        <v>0</v>
      </c>
      <c r="N89" s="698">
        <f>N81</f>
        <v>6074</v>
      </c>
      <c r="O89" s="1041"/>
      <c r="P89" s="743"/>
      <c r="Q89" s="1042">
        <v>0</v>
      </c>
      <c r="R89" s="1043">
        <v>0</v>
      </c>
      <c r="S89" s="40" t="s">
        <v>136</v>
      </c>
      <c r="T89" s="619">
        <v>0</v>
      </c>
      <c r="U89" s="619">
        <v>0</v>
      </c>
      <c r="V89" s="619">
        <v>0</v>
      </c>
      <c r="W89" s="2193"/>
      <c r="AF89" s="2267"/>
    </row>
    <row r="90" spans="1:32" x14ac:dyDescent="0.25">
      <c r="A90" s="273">
        <v>56</v>
      </c>
      <c r="B90" s="668" t="s">
        <v>282</v>
      </c>
      <c r="C90" s="2294">
        <v>0</v>
      </c>
      <c r="D90" s="988">
        <f>IF(BG060Jaaropgave1_AP&lt;&gt;0,"zie jaarloon (60)",IF(Basisgegevens!C$38="Maand",C90*12,IF(Basisgegevens!C$38="4 Weken",C90*13,IF(Basisgegevens!C$38="Weekloon",C90*52,0))))</f>
        <v>0</v>
      </c>
      <c r="E90" s="2297">
        <v>0</v>
      </c>
      <c r="F90" s="988">
        <f>IF(BG060Jaaropgave1_AG&lt;&gt;0,"zie jaarloon (60)",IF(Basisgegevens!E$38="Maand",E90*12,IF(Basisgegevens!E$38="4 Weken",E90*13,IF(Basisgegevens!E$38="Weekloon",E90*52,0))))</f>
        <v>0</v>
      </c>
      <c r="G90" s="2738" t="s">
        <v>412</v>
      </c>
      <c r="H90" s="2739"/>
      <c r="I90" s="2739"/>
      <c r="J90" s="2740"/>
      <c r="M90" s="621">
        <f>N89</f>
        <v>6074</v>
      </c>
      <c r="N90" s="700">
        <f>N82</f>
        <v>31838</v>
      </c>
      <c r="O90" s="747">
        <v>0</v>
      </c>
      <c r="P90" s="745">
        <v>5.8999999999999997E-2</v>
      </c>
      <c r="Q90" s="634">
        <f>IF(AND($Q$79&gt;$M90,$Q$79&lt;=$N90),O90+$P90*($Q$79-(M90-1)),0)</f>
        <v>0</v>
      </c>
      <c r="R90" s="635" t="str">
        <f>IF(AND($R$79&gt;$M90,$R$79&lt;=$N90),$P90*($R$79-(M90-1)),"--")</f>
        <v>--</v>
      </c>
      <c r="S90" s="1004" t="str">
        <f>P90*100&amp;"% x (arbeidsinkomen - € "&amp;N89-1&amp;")"</f>
        <v>5,9% x (arbeidsinkomen - € 6073)</v>
      </c>
      <c r="T90" s="303">
        <f>IF(AND($T$79&gt;$M90,$T$79&lt;=$N90),O90+$P90*($T$79-(M90-1)),0)</f>
        <v>0</v>
      </c>
      <c r="U90" s="303" t="str">
        <f>IF(AND($U$79&gt;$M90,$U$79&lt;=$N90),$P90*($U$79-(M90-1)),"--")</f>
        <v>--</v>
      </c>
      <c r="V90" s="303" t="str">
        <f ca="1">IF(AND($V$79&gt;$M90,$V$79&lt;=$N90),$P90*($V$79-(M90-1)),"--")</f>
        <v>--</v>
      </c>
      <c r="W90" s="2193"/>
      <c r="AF90" s="2267"/>
    </row>
    <row r="91" spans="1:32" ht="15.75" thickBot="1" x14ac:dyDescent="0.3">
      <c r="A91" s="273">
        <v>57</v>
      </c>
      <c r="B91" s="668" t="s">
        <v>554</v>
      </c>
      <c r="C91" s="2294">
        <v>0</v>
      </c>
      <c r="D91" s="988">
        <f>IF(BG060Jaaropgave1_AP&lt;&gt;0,"zie jaarloon (60)",IF(Basisgegevens!C$38="Maand",C91*12,IF(Basisgegevens!C$38="4 Weken",C91*13,IF(Basisgegevens!C$38="Weekloon",C91*52,0))))</f>
        <v>0</v>
      </c>
      <c r="E91" s="2297">
        <v>0</v>
      </c>
      <c r="F91" s="988">
        <f>IF(BG060Jaaropgave1_AG&lt;&gt;0,"zie jaarloon (60)",IF(Basisgegevens!E$38="Maand",E91*12,IF(Basisgegevens!E$38="4 Weken",E91*13,IF(Basisgegevens!E$38="Weekloon",E91*52,0))))</f>
        <v>0</v>
      </c>
      <c r="G91" s="2738"/>
      <c r="H91" s="2739"/>
      <c r="I91" s="2739"/>
      <c r="J91" s="2740"/>
      <c r="M91" s="622">
        <f>N90</f>
        <v>31838</v>
      </c>
      <c r="N91" s="748">
        <v>0</v>
      </c>
      <c r="O91" s="748">
        <v>1522</v>
      </c>
      <c r="P91" s="746"/>
      <c r="Q91" s="1044" t="str">
        <f>IF($Q$79&gt;$M91,$O91,"--")</f>
        <v>--</v>
      </c>
      <c r="R91" s="1045">
        <f>IF($R$79&gt;$M91,$O91,0)</f>
        <v>0</v>
      </c>
      <c r="S91" s="1006" t="str">
        <f>"€ "&amp;O91</f>
        <v>€ 1522</v>
      </c>
      <c r="T91" s="620" t="str">
        <f>IF($T$79&gt;$M91,$O91,"--")</f>
        <v>--</v>
      </c>
      <c r="U91" s="620">
        <f>IF($U$79&gt;$M91,$O91,0)</f>
        <v>0</v>
      </c>
      <c r="V91" s="620">
        <f ca="1">IF($V$79&gt;$M91,$O91,0)</f>
        <v>0</v>
      </c>
      <c r="W91" s="2193"/>
      <c r="AF91" s="2267"/>
    </row>
    <row r="92" spans="1:32" ht="15.75" thickBot="1" x14ac:dyDescent="0.3">
      <c r="A92" s="559">
        <v>58</v>
      </c>
      <c r="B92" s="669" t="s">
        <v>283</v>
      </c>
      <c r="C92" s="1320">
        <v>0</v>
      </c>
      <c r="D92" s="230">
        <f>IF(BG060Jaaropgave1_AP&lt;&gt;0,"zie jaarloon (60)",IF(Basisgegevens!C$38="Maand",C92*12,IF(Basisgegevens!C$38="4 Weken",C92*13,IF(Basisgegevens!C$38="Weekloon",C92*52,0))))</f>
        <v>0</v>
      </c>
      <c r="E92" s="350">
        <v>0</v>
      </c>
      <c r="F92" s="230">
        <f>IF(BG060Jaaropgave1_AG&lt;&gt;0,"zie jaarloon (60)",IF(Basisgegevens!E$38="Maand",E92*12,IF(Basisgegevens!E$38="4 Weken",E92*13,IF(Basisgegevens!E$38="Weekloon",E92*52,0))))</f>
        <v>0</v>
      </c>
      <c r="G92" s="2805"/>
      <c r="H92" s="2806"/>
      <c r="I92" s="2806"/>
      <c r="J92" s="2807"/>
      <c r="M92" s="2712" t="s">
        <v>131</v>
      </c>
      <c r="N92" s="2719"/>
      <c r="O92" s="2719"/>
      <c r="P92" s="2720"/>
      <c r="Q92" s="417" t="str">
        <f>IF($Q$75="Ja",IF(BGAOWLeeftijdBereikt_AP="Nee","zie WERK-tabel",SUM(Q89:Q91)),"n.v.t")</f>
        <v>n.v.t</v>
      </c>
      <c r="R92" s="415" t="str">
        <f>IF($R$75="Ja",IF(BGAOWLeeftijdBereikt_AG="Nee","zie WERK-tabel",SUM(R89:R91)),"n.v.t")</f>
        <v>zie WERK-tabel</v>
      </c>
      <c r="T92" s="42" t="str">
        <f>IF($Q$75="Ja",IF(BGAOWLeeftijdBereikt_AP="Nee","zie WERK-tabel",SUM(T89:T91)),"n.v.t")</f>
        <v>n.v.t</v>
      </c>
      <c r="U92" s="415" t="str">
        <f>IF($R$75="Ja",IF(BGAOWLeeftijdBereikt_AG="Nee","zie WERK-tabel",SUM(U89:U91)),"n.v.t")</f>
        <v>zie WERK-tabel</v>
      </c>
      <c r="V92" s="415" t="str">
        <f>IF($R$75="Ja",IF(BGAOWLeeftijdBereikt_AG="Nee","zie WERK-tabel",SUM(V89:V91)),"n.v.t")</f>
        <v>zie WERK-tabel</v>
      </c>
      <c r="W92" s="2193"/>
      <c r="AF92" s="2267"/>
    </row>
    <row r="93" spans="1:32" ht="15.75" thickBot="1" x14ac:dyDescent="0.3">
      <c r="AB93" s="18"/>
      <c r="AF93" s="2267"/>
    </row>
    <row r="94" spans="1:32" ht="15.75" customHeight="1" thickBot="1" x14ac:dyDescent="0.3">
      <c r="B94" s="661" t="s">
        <v>647</v>
      </c>
      <c r="C94" s="61" t="str">
        <f>BGPartner_AP</f>
        <v>Alimentatie Plichtig</v>
      </c>
      <c r="E94" s="22" t="str">
        <f>BGPartner_AG</f>
        <v>Alimentatie Gerechtigd</v>
      </c>
      <c r="M94" s="13" t="str">
        <f>"Algemene heffingskorting voor "&amp;BGJaarBerekening&amp;" (Werkend)"</f>
        <v>Algemene heffingskorting voor 2024 (Werkend)</v>
      </c>
      <c r="N94" s="12"/>
      <c r="O94" s="20" t="s">
        <v>1098</v>
      </c>
      <c r="T94" s="2684" t="s">
        <v>492</v>
      </c>
      <c r="U94" s="2685"/>
      <c r="V94" s="543" t="s">
        <v>494</v>
      </c>
      <c r="Y94" s="2682" t="s">
        <v>919</v>
      </c>
      <c r="Z94" s="2683"/>
      <c r="AF94" s="2267"/>
    </row>
    <row r="95" spans="1:32" ht="15.75" thickBot="1" x14ac:dyDescent="0.3">
      <c r="A95" s="9" t="s">
        <v>240</v>
      </c>
      <c r="B95" s="108" t="s">
        <v>153</v>
      </c>
      <c r="C95" s="27" t="str">
        <f>C55</f>
        <v>Maandloon</v>
      </c>
      <c r="D95" s="22" t="s">
        <v>95</v>
      </c>
      <c r="E95" s="118" t="str">
        <f>E55</f>
        <v>Maandloon</v>
      </c>
      <c r="F95" s="22" t="s">
        <v>308</v>
      </c>
      <c r="G95" s="2677" t="s">
        <v>208</v>
      </c>
      <c r="H95" s="2678"/>
      <c r="I95" s="2678"/>
      <c r="J95" s="2679"/>
      <c r="L95" s="2">
        <v>115</v>
      </c>
      <c r="M95" s="2"/>
      <c r="N95" s="2"/>
      <c r="O95" s="2"/>
      <c r="S95" s="328" t="s">
        <v>192</v>
      </c>
      <c r="T95" s="541">
        <f>Jusvergelijking!C57</f>
        <v>0</v>
      </c>
      <c r="U95" s="540">
        <f>Jusvergelijking!E57</f>
        <v>0</v>
      </c>
      <c r="V95" s="482">
        <f ca="1">Behoefteberekening!F12-(Behoefteberekening!F56-Behoefteberekening!F58-Behoefteberekening!F60+SUBSTITUTE(Behoefteberekening!F61,"n.v.t",0))</f>
        <v>0</v>
      </c>
      <c r="W95" s="2672" t="s">
        <v>1073</v>
      </c>
      <c r="X95" s="2672" t="s">
        <v>1073</v>
      </c>
      <c r="Y95" s="2681" t="s">
        <v>918</v>
      </c>
      <c r="Z95" s="2668"/>
      <c r="AF95" s="2267"/>
    </row>
    <row r="96" spans="1:32" ht="15.75" thickBot="1" x14ac:dyDescent="0.3">
      <c r="A96" s="274">
        <v>49</v>
      </c>
      <c r="B96" s="666" t="s">
        <v>59</v>
      </c>
      <c r="C96" s="2292">
        <v>0</v>
      </c>
      <c r="D96" s="987">
        <f>IF(BG060Jaaropgave2_AP&lt;&gt;0,"zie jaarloon (60)",IF(Basisgegevens!C$54="Maand",C96*12,IF(Basisgegevens!C$54="4 Weken",C96*13,IF(Basisgegevens!C$54="Weekloon",C96*52,0))))</f>
        <v>0</v>
      </c>
      <c r="E96" s="2295">
        <v>0</v>
      </c>
      <c r="F96" s="987">
        <f>IF(BG060Jaaropgave2_AG&lt;&gt;0,"zie jaarloon (60)",IF(Basisgegevens!E$54="Maand",E96*12,IF(Basisgegevens!E$54="4 Weken",E96*13,IF(Basisgegevens!E$54="Weekloon",E96*52,0))))</f>
        <v>0</v>
      </c>
      <c r="G96" s="2735" t="s">
        <v>440</v>
      </c>
      <c r="H96" s="2736"/>
      <c r="I96" s="2736"/>
      <c r="J96" s="2737"/>
      <c r="O96" s="2714" t="s">
        <v>192</v>
      </c>
      <c r="P96" s="2715"/>
      <c r="Q96" s="415">
        <f>ROUND(AL94VerzInkomen_AP,0)</f>
        <v>0</v>
      </c>
      <c r="R96" s="415">
        <f>AL94VerzInkomen_AG</f>
        <v>0</v>
      </c>
      <c r="S96" s="58" t="s">
        <v>193</v>
      </c>
      <c r="T96" s="2681" t="s">
        <v>493</v>
      </c>
      <c r="U96" s="2679"/>
      <c r="V96" s="22" t="s">
        <v>473</v>
      </c>
      <c r="W96" s="2671"/>
      <c r="X96" s="2671"/>
      <c r="Y96" s="415">
        <f>Z5</f>
        <v>0</v>
      </c>
      <c r="Z96" s="415">
        <f>AA5</f>
        <v>0</v>
      </c>
      <c r="AF96" s="2267"/>
    </row>
    <row r="97" spans="1:32" ht="15.75" thickBot="1" x14ac:dyDescent="0.3">
      <c r="A97" s="274">
        <v>51</v>
      </c>
      <c r="B97" s="667" t="s">
        <v>241</v>
      </c>
      <c r="C97" s="2293">
        <v>0</v>
      </c>
      <c r="D97" s="987">
        <f>IF(BG060Jaaropgave2_AP&lt;&gt;0,"zie jaarloon (60)",IF(Basisgegevens!C$54="Maand",C97*12,IF(Basisgegevens!C$54="4 Weken",C97*13,IF(Basisgegevens!C$54="Weekloon",C97*52,0))))</f>
        <v>0</v>
      </c>
      <c r="E97" s="2296">
        <v>0</v>
      </c>
      <c r="F97" s="987">
        <f>IF(BG060Jaaropgave2_AG&lt;&gt;0,"zie jaarloon (60)",IF(Basisgegevens!E$54="Maand",E97*12,IF(Basisgegevens!E$54="4 Weken",E97*13,IF(Basisgegevens!E$54="Weekloon",E97*52,0))))</f>
        <v>0</v>
      </c>
      <c r="G97" s="2738" t="s">
        <v>440</v>
      </c>
      <c r="H97" s="2739"/>
      <c r="I97" s="2739"/>
      <c r="J97" s="2740"/>
      <c r="M97" s="14" t="s">
        <v>129</v>
      </c>
      <c r="N97" s="15" t="s">
        <v>68</v>
      </c>
      <c r="O97" s="37" t="s">
        <v>130</v>
      </c>
      <c r="P97" s="38" t="s">
        <v>78</v>
      </c>
      <c r="Q97" s="22" t="str">
        <f>BGPartner_AP</f>
        <v>Alimentatie Plichtig</v>
      </c>
      <c r="R97" s="22" t="str">
        <f>BGPartner_AG</f>
        <v>Alimentatie Gerechtigd</v>
      </c>
      <c r="S97" s="1693" t="s">
        <v>208</v>
      </c>
      <c r="T97" s="22" t="str">
        <f>BGPartner_AP</f>
        <v>Alimentatie Plichtig</v>
      </c>
      <c r="U97" s="118" t="str">
        <f>BGPartner_AG</f>
        <v>Alimentatie Gerechtigd</v>
      </c>
      <c r="V97" s="22" t="str">
        <f>BGPartner_AG</f>
        <v>Alimentatie Gerechtigd</v>
      </c>
      <c r="W97" s="22" t="str">
        <f>BGPartner_AP</f>
        <v>Alimentatie Plichtig</v>
      </c>
      <c r="X97" s="68" t="str">
        <f>BGPartner_AG</f>
        <v>Alimentatie Gerechtigd</v>
      </c>
      <c r="Y97" s="22" t="str">
        <f>BGPartner_AP</f>
        <v>Alimentatie Plichtig</v>
      </c>
      <c r="Z97" s="22" t="str">
        <f>BGPartner_AG</f>
        <v>Alimentatie Gerechtigd</v>
      </c>
      <c r="AF97" s="2267"/>
    </row>
    <row r="98" spans="1:32" x14ac:dyDescent="0.25">
      <c r="A98" s="273">
        <v>52</v>
      </c>
      <c r="B98" s="668" t="s">
        <v>280</v>
      </c>
      <c r="C98" s="2294">
        <v>0</v>
      </c>
      <c r="D98" s="988">
        <f>IF(BG060Jaaropgave2_AP&lt;&gt;0,"zie jaarloon (60)",IF(Basisgegevens!C$54="Maand",C98*12,IF(Basisgegevens!C$54="4 Weken",C98*13,IF(Basisgegevens!C$54="Weekloon",C98*52,0))))</f>
        <v>0</v>
      </c>
      <c r="E98" s="2297">
        <v>0</v>
      </c>
      <c r="F98" s="988">
        <f>IF(BG060Jaaropgave2_AG&lt;&gt;0,"zie jaarloon (60)",IF(Basisgegevens!E$54="Maand",E98*12,IF(Basisgegevens!E$54="4 Weken",E98*13,IF(Basisgegevens!E$54="Weekloon",E98*52,0))))</f>
        <v>0</v>
      </c>
      <c r="G98" s="2738" t="s">
        <v>440</v>
      </c>
      <c r="H98" s="2739"/>
      <c r="I98" s="2739"/>
      <c r="J98" s="2740"/>
      <c r="M98" s="416">
        <v>0</v>
      </c>
      <c r="N98" s="707">
        <v>24813</v>
      </c>
      <c r="O98" s="1041">
        <v>3362</v>
      </c>
      <c r="P98" s="743"/>
      <c r="Q98" s="501" t="str">
        <f>IF(AND($Q$96&lt;&gt;$M98,$Q$96&lt;=$N98),$O98,"--")</f>
        <v>--</v>
      </c>
      <c r="R98" s="501" t="str">
        <f>IF(AND($R$96&lt;&gt;$M98,$R$96&lt;=$N98),$O98,"--")</f>
        <v>--</v>
      </c>
      <c r="S98" s="2470"/>
      <c r="T98" s="501" t="str">
        <f>IF(AND($T$95&lt;&gt;$M98,$T$95&lt;=$N98),$O98,"--")</f>
        <v>--</v>
      </c>
      <c r="U98" s="501" t="str">
        <f>IF(AND($U$95&lt;&gt;$M98,$U$95&lt;=$N98),$O98,"--")</f>
        <v>--</v>
      </c>
      <c r="V98" s="626" t="str">
        <f ca="1">IF(AND($V$95&lt;&gt;$M98,$V$95&lt;=$N98),$O98,"--")</f>
        <v>--</v>
      </c>
      <c r="W98" s="626" t="str">
        <f>IF(AND('Alimentatie 2024-02'!E129&lt;&gt;$M98,'Alimentatie 2024-02'!E129&lt;=$N98),$O98,"--")</f>
        <v>--</v>
      </c>
      <c r="X98" s="626" t="str">
        <f>IF(AND('Alimentatie 2024-02'!G129&lt;&gt;$M98,'Alimentatie 2024-02'!G129&lt;=$N98),$O98,"--")</f>
        <v>--</v>
      </c>
      <c r="Y98" s="501" t="str">
        <f>IF(AND($Y$96&lt;&gt;$M98,$Y$96&lt;=$N98),$O98,"--")</f>
        <v>--</v>
      </c>
      <c r="Z98" s="501" t="str">
        <f>IF(AND($Z$96&lt;&gt;$M98,$Z$96&lt;=$N98),$O98,"--")</f>
        <v>--</v>
      </c>
      <c r="AF98" s="2267"/>
    </row>
    <row r="99" spans="1:32" x14ac:dyDescent="0.25">
      <c r="A99" s="273">
        <v>53</v>
      </c>
      <c r="B99" s="668" t="s">
        <v>281</v>
      </c>
      <c r="C99" s="2294">
        <v>0</v>
      </c>
      <c r="D99" s="988">
        <f>IF(BG060Jaaropgave2_AP&lt;&gt;0,"zie jaarloon (60)",IF(Basisgegevens!C$54="Maand",C99*12,IF(Basisgegevens!C$54="4 Weken",C99*13,IF(Basisgegevens!C$54="Weekloon",C99*52,0))))</f>
        <v>0</v>
      </c>
      <c r="E99" s="2297">
        <v>0</v>
      </c>
      <c r="F99" s="988">
        <f>IF(BG060Jaaropgave2_AG&lt;&gt;0,"zie jaarloon (60)",IF(Basisgegevens!E$54="Maand",E99*12,IF(Basisgegevens!E$54="4 Weken",E99*13,IF(Basisgegevens!E$54="Weekloon",E99*52,0))))</f>
        <v>0</v>
      </c>
      <c r="G99" s="2738" t="s">
        <v>411</v>
      </c>
      <c r="H99" s="2739"/>
      <c r="I99" s="2739"/>
      <c r="J99" s="2740"/>
      <c r="M99" s="621">
        <f>N98</f>
        <v>24813</v>
      </c>
      <c r="N99" s="701">
        <v>75518</v>
      </c>
      <c r="O99" s="747">
        <v>0</v>
      </c>
      <c r="P99" s="745">
        <v>6.6299999999999998E-2</v>
      </c>
      <c r="Q99" s="502" t="str">
        <f>IF(AND($Q$96&gt;$M99,$Q$96&lt;=$N99),($O98-($P99*($Q$96-($M99-1)))),"--")</f>
        <v>--</v>
      </c>
      <c r="R99" s="502" t="str">
        <f>IF(AND($R$96&gt;$M99,$R$96&lt;=$N99),($O98-($P99*($R$96-($M99-1)))),"--")</f>
        <v>--</v>
      </c>
      <c r="S99" s="1004" t="str">
        <f>"€ "&amp;O98&amp;" - "&amp;P99*100&amp;"% x (belastbaar inkomen - € "&amp;N98-1&amp;")"</f>
        <v>€ 3362 - 6,63% x (belastbaar inkomen - € 24812)</v>
      </c>
      <c r="T99" s="502" t="str">
        <f>IF(AND($T$95&gt;$M99,$T$95&lt;=$N99),($O98-($P99*($T$95-($M99-1)))),"--")</f>
        <v>--</v>
      </c>
      <c r="U99" s="502" t="str">
        <f>IF(AND($U$95&gt;$M99,$U$95&lt;=$N99),($O98-($P99*($U$95-($M99-1)))),"--")</f>
        <v>--</v>
      </c>
      <c r="V99" s="627" t="str">
        <f ca="1">IF(AND($V$95&gt;$M99,$V$95&lt;=$N99),($O98-($P99*($V$95-($M99-1)))),"--")</f>
        <v>--</v>
      </c>
      <c r="W99" s="627" t="str">
        <f>IF(AND('Alimentatie 2024-02'!E129&gt;$M99,'Alimentatie 2024-02'!E129&lt;=$N99),($O98-($P99*('Alimentatie 2024-02'!E129-($M99-1)))),"--")</f>
        <v>--</v>
      </c>
      <c r="X99" s="627" t="str">
        <f>IF(AND('Alimentatie 2024-02'!G129&gt;$M99,'Alimentatie 2024-02'!G129&lt;=$N99),($O98-($P99*('Alimentatie 2024-02'!G129-($M99-1)))),"--")</f>
        <v>--</v>
      </c>
      <c r="Y99" s="502" t="str">
        <f>IF(AND($Y$96&gt;$M99,$Y$96&lt;=$N99),($O98-($P99*($Y$96-($M99-1)))),"--")</f>
        <v>--</v>
      </c>
      <c r="Z99" s="502" t="str">
        <f>IF(AND($Z$96&gt;$M99,$Z$96&lt;=$N99),($O98-($P99*($Z$96-($M99-1)))),"--")</f>
        <v>--</v>
      </c>
      <c r="AF99" s="2267"/>
    </row>
    <row r="100" spans="1:32" ht="15.75" thickBot="1" x14ac:dyDescent="0.3">
      <c r="A100" s="273">
        <v>55</v>
      </c>
      <c r="B100" s="668" t="s">
        <v>63</v>
      </c>
      <c r="C100" s="1647">
        <v>0</v>
      </c>
      <c r="D100" s="988">
        <f>IF(BG060Jaaropgave2_AP&lt;&gt;0,"zie jaarloon (60)",IF(Basisgegevens!C$54="Maand",C100*12,IF(Basisgegevens!C$54="4 Weken",C100*13,IF(Basisgegevens!C$54="Weekloon",C100*52,0))))</f>
        <v>0</v>
      </c>
      <c r="E100" s="1647">
        <v>0</v>
      </c>
      <c r="F100" s="988">
        <f>IF(BG060Jaaropgave2_AG&lt;&gt;0,"zie jaarloon (60)",IF(Basisgegevens!E$54="Maand",E100*12,IF(Basisgegevens!E$54="4 Weken",E100*13,IF(Basisgegevens!E$54="Weekloon",E100*52,0))))</f>
        <v>0</v>
      </c>
      <c r="G100" s="2738" t="s">
        <v>664</v>
      </c>
      <c r="H100" s="2739"/>
      <c r="I100" s="2739"/>
      <c r="J100" s="2740"/>
      <c r="L100" s="21"/>
      <c r="M100" s="622">
        <f>N99</f>
        <v>75518</v>
      </c>
      <c r="N100" s="748">
        <v>0</v>
      </c>
      <c r="O100" s="748">
        <v>0</v>
      </c>
      <c r="P100" s="746"/>
      <c r="Q100" s="625">
        <v>0</v>
      </c>
      <c r="R100" s="625">
        <v>0</v>
      </c>
      <c r="S100" s="2469"/>
      <c r="T100" s="628">
        <v>0</v>
      </c>
      <c r="U100" s="628">
        <v>0</v>
      </c>
      <c r="V100" s="628">
        <v>0</v>
      </c>
      <c r="W100" s="628">
        <f>Q100</f>
        <v>0</v>
      </c>
      <c r="X100" s="628">
        <f>R100</f>
        <v>0</v>
      </c>
      <c r="Y100" s="628">
        <f>S100</f>
        <v>0</v>
      </c>
      <c r="Z100" s="628">
        <f>T100</f>
        <v>0</v>
      </c>
      <c r="AF100" s="2267"/>
    </row>
    <row r="101" spans="1:32" ht="15.75" thickBot="1" x14ac:dyDescent="0.3">
      <c r="A101" s="273">
        <v>56</v>
      </c>
      <c r="B101" s="668" t="s">
        <v>282</v>
      </c>
      <c r="C101" s="2294">
        <v>0</v>
      </c>
      <c r="D101" s="988">
        <f>IF(BG060Jaaropgave2_AP&lt;&gt;0,"zie jaarloon (60)",IF(Basisgegevens!C$54="Maand",C101*12,IF(Basisgegevens!C$54="4 Weken",C101*13,IF(Basisgegevens!C$54="Weekloon",C101*52,0))))</f>
        <v>0</v>
      </c>
      <c r="E101" s="2297">
        <v>0</v>
      </c>
      <c r="F101" s="988">
        <f>IF(BG060Jaaropgave2_AG&lt;&gt;0,"zie jaarloon (60)",IF(Basisgegevens!E$54="Maand",E101*12,IF(Basisgegevens!E$54="4 Weken",E101*13,IF(Basisgegevens!E$54="Weekloon",E101*52,0))))</f>
        <v>0</v>
      </c>
      <c r="G101" s="2738" t="s">
        <v>412</v>
      </c>
      <c r="H101" s="2739"/>
      <c r="I101" s="2739"/>
      <c r="J101" s="2740"/>
      <c r="M101" s="2712" t="s">
        <v>131</v>
      </c>
      <c r="N101" s="2713"/>
      <c r="O101" s="2713"/>
      <c r="P101" s="2713"/>
      <c r="Q101" s="415">
        <f>IF(BGAOWLeeftijdBereikt_AP="Ja","Zie AOW-tabel",SUM(Q98:Q100))</f>
        <v>0</v>
      </c>
      <c r="R101" s="415">
        <f>IF(BGAOWLeeftijdBereikt_AG="Ja","Zie AOW-tabel",SUM(R98:R100))</f>
        <v>0</v>
      </c>
      <c r="S101" s="2468"/>
      <c r="T101" s="415">
        <f>IF(BGAOWLeeftijdBereikt_AP="Ja","Zie AOW-tabel",SUM(T98:T100))</f>
        <v>0</v>
      </c>
      <c r="U101" s="415">
        <f>IF(BGAOWLeeftijdBereikt_AG="Ja","Zie AOW-tabel",SUM(U98:U100))</f>
        <v>0</v>
      </c>
      <c r="V101" s="415">
        <f ca="1">IF(BGAOWLeeftijdBereikt_AG="Ja","Zie AOW-tabel",SUM(V98:V100))</f>
        <v>0</v>
      </c>
      <c r="W101" s="415">
        <f>IF(BGAOWLeeftijdBereikt_AP="Ja","Zie AOW-tabel",SUM(W98:W100))</f>
        <v>0</v>
      </c>
      <c r="X101" s="415">
        <f>IF(BGAOWLeeftijdBereikt_AG="Ja","Zie AOW-tabel",SUM(X98:X100))</f>
        <v>0</v>
      </c>
      <c r="Y101" s="415">
        <f>IF(BGAOWLeeftijdBereikt_AP="Ja","Zie AOW-tabel",SUM(Y98:Y100))</f>
        <v>0</v>
      </c>
      <c r="Z101" s="415">
        <f>IF(BGAOWLeeftijdBereikt_AG="Ja","Zie AOW-tabel",SUM(Z98:Z100))</f>
        <v>0</v>
      </c>
      <c r="AF101" s="2267"/>
    </row>
    <row r="102" spans="1:32" x14ac:dyDescent="0.25">
      <c r="A102" s="273">
        <v>57</v>
      </c>
      <c r="B102" s="668" t="s">
        <v>554</v>
      </c>
      <c r="C102" s="2294">
        <v>0</v>
      </c>
      <c r="D102" s="988">
        <f>IF(BG060Jaaropgave2_AP&lt;&gt;0,"zie jaarloon (60)",IF(Basisgegevens!C$54="Maand",C102*12,IF(Basisgegevens!C$54="4 Weken",C102*13,IF(Basisgegevens!C$54="Weekloon",C102*52,0))))</f>
        <v>0</v>
      </c>
      <c r="E102" s="2297">
        <v>0</v>
      </c>
      <c r="F102" s="988">
        <f>IF(BG060Jaaropgave2_AG&lt;&gt;0,"zie jaarloon (60)",IF(Basisgegevens!E$54="Maand",E102*12,IF(Basisgegevens!E$54="4 Weken",E102*13,IF(Basisgegevens!E$54="Weekloon",E102*52,0))))</f>
        <v>0</v>
      </c>
      <c r="G102" s="2738"/>
      <c r="H102" s="2739"/>
      <c r="I102" s="2739"/>
      <c r="J102" s="2740"/>
      <c r="R102" s="2"/>
      <c r="AF102" s="2267"/>
    </row>
    <row r="103" spans="1:32" ht="15.75" customHeight="1" thickBot="1" x14ac:dyDescent="0.3">
      <c r="A103" s="559">
        <v>58</v>
      </c>
      <c r="B103" s="669" t="s">
        <v>283</v>
      </c>
      <c r="C103" s="1320">
        <v>0</v>
      </c>
      <c r="D103" s="230">
        <f>IF(BG060Jaaropgave2_AP&lt;&gt;0,"zie jaarloon (60)",IF(Basisgegevens!C$54="Maand",C103*12,IF(Basisgegevens!C$54="4 Weken",C103*13,IF(Basisgegevens!C$54="Weekloon",C103*52,0))))</f>
        <v>0</v>
      </c>
      <c r="E103" s="350">
        <v>0</v>
      </c>
      <c r="F103" s="230">
        <f>IF(BG060Jaaropgave2_AG&lt;&gt;0,"zie jaarloon (60)",IF(Basisgegevens!E$54="Maand",E103*12,IF(Basisgegevens!E$54="4 Weken",E103*13,IF(Basisgegevens!E$54="Weekloon",E103*52,0))))</f>
        <v>0</v>
      </c>
      <c r="G103" s="2805"/>
      <c r="H103" s="2806"/>
      <c r="I103" s="2806"/>
      <c r="J103" s="2807"/>
      <c r="N103" s="99"/>
      <c r="Q103" s="99"/>
      <c r="R103" s="117"/>
      <c r="AF103" s="2267"/>
    </row>
    <row r="104" spans="1:32" ht="15.75" thickBot="1" x14ac:dyDescent="0.3">
      <c r="L104" s="2">
        <v>115</v>
      </c>
      <c r="M104" s="13" t="str">
        <f>"Algemene heffingskorting voor "&amp;BGJaarBerekening&amp;" (AOW-er)"</f>
        <v>Algemene heffingskorting voor 2024 (AOW-er)</v>
      </c>
      <c r="N104" s="12"/>
      <c r="O104" s="20"/>
      <c r="T104" s="2684" t="s">
        <v>492</v>
      </c>
      <c r="U104" s="2685"/>
      <c r="V104" s="543" t="s">
        <v>494</v>
      </c>
      <c r="W104" s="2672" t="s">
        <v>1073</v>
      </c>
      <c r="X104" s="2672" t="s">
        <v>1073</v>
      </c>
      <c r="Y104" s="2682" t="s">
        <v>919</v>
      </c>
      <c r="Z104" s="2683"/>
      <c r="AF104" s="2267"/>
    </row>
    <row r="105" spans="1:32" ht="15.75" thickBot="1" x14ac:dyDescent="0.3">
      <c r="B105" s="862" t="s">
        <v>601</v>
      </c>
      <c r="C105" s="61" t="str">
        <f>BGPartner_AP</f>
        <v>Alimentatie Plichtig</v>
      </c>
      <c r="E105" s="22" t="str">
        <f>BGPartner_AG</f>
        <v>Alimentatie Gerechtigd</v>
      </c>
      <c r="O105" s="328"/>
      <c r="P105" s="328"/>
      <c r="Q105" s="148"/>
      <c r="R105" s="148"/>
      <c r="S105" s="58"/>
      <c r="T105" s="2681" t="s">
        <v>493</v>
      </c>
      <c r="U105" s="2679"/>
      <c r="V105" s="22" t="s">
        <v>473</v>
      </c>
      <c r="W105" s="2673"/>
      <c r="X105" s="2671"/>
      <c r="Y105" s="2681" t="s">
        <v>918</v>
      </c>
      <c r="Z105" s="2668"/>
      <c r="AF105" s="2267"/>
    </row>
    <row r="106" spans="1:32" ht="15.75" thickBot="1" x14ac:dyDescent="0.3">
      <c r="A106" s="9" t="s">
        <v>240</v>
      </c>
      <c r="B106" s="108" t="s">
        <v>153</v>
      </c>
      <c r="C106" s="22" t="s">
        <v>55</v>
      </c>
      <c r="D106" s="118" t="s">
        <v>95</v>
      </c>
      <c r="E106" s="27" t="s">
        <v>55</v>
      </c>
      <c r="F106" s="22" t="s">
        <v>308</v>
      </c>
      <c r="G106" s="2677" t="s">
        <v>208</v>
      </c>
      <c r="H106" s="2678"/>
      <c r="I106" s="2678"/>
      <c r="J106" s="2679"/>
      <c r="M106" s="60" t="s">
        <v>129</v>
      </c>
      <c r="N106" s="54" t="s">
        <v>68</v>
      </c>
      <c r="O106" s="6" t="s">
        <v>130</v>
      </c>
      <c r="P106" s="55" t="s">
        <v>78</v>
      </c>
      <c r="Q106" s="27" t="str">
        <f>BGPartner_AP</f>
        <v>Alimentatie Plichtig</v>
      </c>
      <c r="R106" s="22" t="str">
        <f>BGPartner_AG</f>
        <v>Alimentatie Gerechtigd</v>
      </c>
      <c r="S106" s="1692" t="s">
        <v>208</v>
      </c>
      <c r="T106" s="57" t="str">
        <f>BGPartner_AP</f>
        <v>Alimentatie Plichtig</v>
      </c>
      <c r="U106" s="57" t="str">
        <f>BGPartner_AG</f>
        <v>Alimentatie Gerechtigd</v>
      </c>
      <c r="V106" s="22" t="str">
        <f>BGPartner_AG</f>
        <v>Alimentatie Gerechtigd</v>
      </c>
      <c r="W106" s="22" t="str">
        <f>BGPartner_AP</f>
        <v>Alimentatie Plichtig</v>
      </c>
      <c r="X106" s="68" t="str">
        <f>BGPartner_AG</f>
        <v>Alimentatie Gerechtigd</v>
      </c>
      <c r="Y106" s="22" t="str">
        <f>BGPartner_AP</f>
        <v>Alimentatie Plichtig</v>
      </c>
      <c r="Z106" s="22" t="str">
        <f>BGPartner_AG</f>
        <v>Alimentatie Gerechtigd</v>
      </c>
      <c r="AF106" s="2267"/>
    </row>
    <row r="107" spans="1:32" x14ac:dyDescent="0.25">
      <c r="A107" s="274">
        <v>49</v>
      </c>
      <c r="B107" s="666" t="s">
        <v>59</v>
      </c>
      <c r="C107" s="850">
        <f>C85+C96</f>
        <v>0</v>
      </c>
      <c r="D107" s="987">
        <f t="shared" ref="D107:D114" si="26">IF(AND(BG060Jaaropgave1_AP&lt;&gt;0,BG060Jaaropgave2_AP&lt;&gt;0),"zie jaarloon (60)",IF(AND(BG060Jaaropgave1_AP&lt;&gt;0,BG060Jaaropgave2_AP=0),D96,IF(AND(BG060Jaaropgave1_AP=0,BG060Jaaropgave2_AP&lt;&gt;0),D85,D85+D96)))</f>
        <v>0</v>
      </c>
      <c r="E107" s="850">
        <f>E85+E96</f>
        <v>0</v>
      </c>
      <c r="F107" s="987">
        <f t="shared" ref="F107:F114" si="27">IF(AND(BG060Jaaropgave1_AG&lt;&gt;0,BG060Jaaropgave2_AG&lt;&gt;0),"zie jaarloon (60)",IF(AND(BG060Jaaropgave1_AG&lt;&gt;0,BG060Jaaropgave2_AG=0),F96,IF(AND(BG060Jaaropgave1_AG=0,BG060Jaaropgave2_AG&lt;&gt;0),F85,F85+F96)))</f>
        <v>0</v>
      </c>
      <c r="G107" s="2735" t="s">
        <v>1012</v>
      </c>
      <c r="H107" s="2736"/>
      <c r="I107" s="2736"/>
      <c r="J107" s="2737"/>
      <c r="M107" s="416">
        <v>0</v>
      </c>
      <c r="N107" s="698">
        <f>N98</f>
        <v>24813</v>
      </c>
      <c r="O107" s="1041">
        <v>1735</v>
      </c>
      <c r="P107" s="743"/>
      <c r="Q107" s="501" t="str">
        <f>IF(AND($Q$96&lt;&gt;$M107,$Q$96&lt;=$N107),$O107,"--")</f>
        <v>--</v>
      </c>
      <c r="R107" s="501" t="str">
        <f>IF(AND($R$96&lt;&gt;$M107,$R$96&lt;=$N107),$O107,"--")</f>
        <v>--</v>
      </c>
      <c r="S107" s="2470"/>
      <c r="T107" s="501" t="str">
        <f>IF(AND($T$95&lt;&gt;$M107,$T$95&lt;=$N107),$O107,"--")</f>
        <v>--</v>
      </c>
      <c r="U107" s="501" t="str">
        <f>IF(AND($U$95&lt;&gt;$M107,$U$95&lt;=$N107),$O107,"--")</f>
        <v>--</v>
      </c>
      <c r="V107" s="626" t="str">
        <f ca="1">IF(AND($V$95&lt;&gt;$M107,$V$95&lt;=$N107),$O107,"--")</f>
        <v>--</v>
      </c>
      <c r="W107" s="626" t="str">
        <f>IF(AND('Alimentatie 2024-02'!E129&lt;&gt;$M107,'Alimentatie 2024-02'!E129)&lt;=$N107,$O107,"--")</f>
        <v>--</v>
      </c>
      <c r="X107" s="626" t="str">
        <f>IF(AND('Alimentatie 2024-02'!G129&lt;&gt;$M107,'Alimentatie 2024-02'!G129&lt;=$N107),$O107,"--")</f>
        <v>--</v>
      </c>
      <c r="Y107" s="501" t="str">
        <f>IF(AND($Y$96&lt;&gt;$M107,$Y$96&lt;=$N107),$O107,"--")</f>
        <v>--</v>
      </c>
      <c r="Z107" s="501" t="str">
        <f>IF(AND($Z$96&lt;&gt;$M107,$Z$96&lt;=$N107),$O107,"--")</f>
        <v>--</v>
      </c>
      <c r="AF107" s="2267"/>
    </row>
    <row r="108" spans="1:32" x14ac:dyDescent="0.25">
      <c r="A108" s="274">
        <v>51</v>
      </c>
      <c r="B108" s="667" t="s">
        <v>241</v>
      </c>
      <c r="C108" s="850">
        <f t="shared" ref="C108:E114" si="28">C86+C97</f>
        <v>0</v>
      </c>
      <c r="D108" s="987">
        <f t="shared" si="26"/>
        <v>0</v>
      </c>
      <c r="E108" s="850">
        <f t="shared" si="28"/>
        <v>0</v>
      </c>
      <c r="F108" s="987">
        <f t="shared" si="27"/>
        <v>0</v>
      </c>
      <c r="G108" s="2738" t="s">
        <v>1012</v>
      </c>
      <c r="H108" s="2739"/>
      <c r="I108" s="2739"/>
      <c r="J108" s="2740"/>
      <c r="M108" s="621">
        <f>N107</f>
        <v>24813</v>
      </c>
      <c r="N108" s="700">
        <f>N99</f>
        <v>75518</v>
      </c>
      <c r="O108" s="747">
        <v>0</v>
      </c>
      <c r="P108" s="745">
        <v>3.4209999999999997E-2</v>
      </c>
      <c r="Q108" s="502" t="str">
        <f>IF(AND($Q$96&gt;$M108,$Q$96&lt;=$N108),($O107-($P108*($Q$96-($M108-1)))),"--")</f>
        <v>--</v>
      </c>
      <c r="R108" s="502" t="str">
        <f>IF(AND($R$96&gt;$M108,$R$96&lt;=$N108),($O107-($P108*($R$96-($M108-1)))),"--")</f>
        <v>--</v>
      </c>
      <c r="S108" s="1004" t="str">
        <f>"€ "&amp;O107&amp;" - "&amp;P108*100&amp;"% x (belastbaar inkomen - € "&amp;N107-1&amp;")"</f>
        <v>€ 1735 - 3,421% x (belastbaar inkomen - € 24812)</v>
      </c>
      <c r="T108" s="502" t="str">
        <f>IF(AND($T$95&gt;$M108,$T$95&lt;=$N108),($O107-($P108*($T$95-($M108-1)))),"--")</f>
        <v>--</v>
      </c>
      <c r="U108" s="502" t="str">
        <f>IF(AND($U$95&gt;$M108,$U$95&lt;=$N108),($O107-($P108*($U$95-($M108-1)))),"--")</f>
        <v>--</v>
      </c>
      <c r="V108" s="627" t="str">
        <f ca="1">IF(AND($V$95&gt;$M108,$V$95&lt;=$N108),($O107-($P108*($V$95-($M108-1)))),"--")</f>
        <v>--</v>
      </c>
      <c r="W108" s="627" t="str">
        <f>IF(AND('Alimentatie 2024-02'!E129&gt;$M108,'Alimentatie 2024-02'!E129&lt;=$N108),($O107-($P108*('Alimentatie 2024-02'!E129-($M108-1)))),"--")</f>
        <v>--</v>
      </c>
      <c r="X108" s="627" t="str">
        <f>IF(AND('Alimentatie 2024-02'!G129&gt;$M108,'Alimentatie 2024-02'!G129&lt;=$N108),($O107-($P108*('Alimentatie 2024-02'!G129-($M108-1)))),"--")</f>
        <v>--</v>
      </c>
      <c r="Y108" s="502" t="str">
        <f>IF(AND($Y$96&gt;$M108,$Y$96&lt;=$N108),($O107-($P108*($Y$96-($M108-1)))),"--")</f>
        <v>--</v>
      </c>
      <c r="Z108" s="502" t="str">
        <f>IF(AND($Z$96&gt;$M108,$Z$96&lt;=$N108),($O107-($P108*($Z$96-($M108-1)))),"--")</f>
        <v>--</v>
      </c>
      <c r="AF108" s="2267"/>
    </row>
    <row r="109" spans="1:32" ht="15.75" thickBot="1" x14ac:dyDescent="0.3">
      <c r="A109" s="273">
        <v>52</v>
      </c>
      <c r="B109" s="668" t="s">
        <v>280</v>
      </c>
      <c r="C109" s="863">
        <f t="shared" si="28"/>
        <v>0</v>
      </c>
      <c r="D109" s="988">
        <f t="shared" si="26"/>
        <v>0</v>
      </c>
      <c r="E109" s="863">
        <f t="shared" si="28"/>
        <v>0</v>
      </c>
      <c r="F109" s="987">
        <f t="shared" si="27"/>
        <v>0</v>
      </c>
      <c r="G109" s="2738" t="s">
        <v>1012</v>
      </c>
      <c r="H109" s="2739"/>
      <c r="I109" s="2739"/>
      <c r="J109" s="2740"/>
      <c r="L109" s="21"/>
      <c r="M109" s="622">
        <f>N108</f>
        <v>75518</v>
      </c>
      <c r="N109" s="748">
        <v>0</v>
      </c>
      <c r="O109" s="748">
        <v>0</v>
      </c>
      <c r="P109" s="746"/>
      <c r="Q109" s="625">
        <v>0</v>
      </c>
      <c r="R109" s="625">
        <v>0</v>
      </c>
      <c r="S109" s="2469"/>
      <c r="T109" s="628">
        <v>0</v>
      </c>
      <c r="U109" s="628">
        <v>0</v>
      </c>
      <c r="V109" s="628">
        <v>0</v>
      </c>
      <c r="W109" s="628">
        <f>Q109</f>
        <v>0</v>
      </c>
      <c r="X109" s="628">
        <f>R109</f>
        <v>0</v>
      </c>
      <c r="Y109" s="628">
        <f>S109</f>
        <v>0</v>
      </c>
      <c r="Z109" s="628">
        <f>T109</f>
        <v>0</v>
      </c>
      <c r="AF109" s="2267"/>
    </row>
    <row r="110" spans="1:32" ht="15.75" thickBot="1" x14ac:dyDescent="0.3">
      <c r="A110" s="273">
        <v>53</v>
      </c>
      <c r="B110" s="668" t="s">
        <v>281</v>
      </c>
      <c r="C110" s="863">
        <f t="shared" si="28"/>
        <v>0</v>
      </c>
      <c r="D110" s="988">
        <f t="shared" si="26"/>
        <v>0</v>
      </c>
      <c r="E110" s="863">
        <f t="shared" si="28"/>
        <v>0</v>
      </c>
      <c r="F110" s="987">
        <f t="shared" si="27"/>
        <v>0</v>
      </c>
      <c r="G110" s="2738" t="s">
        <v>1012</v>
      </c>
      <c r="H110" s="2739"/>
      <c r="I110" s="2739"/>
      <c r="J110" s="2740"/>
      <c r="M110" s="2712" t="s">
        <v>131</v>
      </c>
      <c r="N110" s="2713"/>
      <c r="O110" s="2713"/>
      <c r="P110" s="2713"/>
      <c r="Q110" s="509" t="str">
        <f>IF(BGAOWLeeftijdBereikt_AP="Nee","Zie WERK-tabel",SUM(Q107:Q109))</f>
        <v>Zie WERK-tabel</v>
      </c>
      <c r="R110" s="415" t="str">
        <f>IF(BGAOWLeeftijdBereikt_AG="Nee","Zie WERK-tabel",SUM(R107:R109))</f>
        <v>Zie WERK-tabel</v>
      </c>
      <c r="S110" s="2474"/>
      <c r="T110" s="415" t="str">
        <f>IF(BGAOWLeeftijdBereikt_AP="Nee","Zie WERK-tabel",SUM(T107:T109))</f>
        <v>Zie WERK-tabel</v>
      </c>
      <c r="U110" s="415" t="str">
        <f>IF(BGAOWLeeftijdBereikt_AG="Nee","Zie WERK-tabel",SUM(U107:U109))</f>
        <v>Zie WERK-tabel</v>
      </c>
      <c r="V110" s="415" t="str">
        <f>IF(BGAOWLeeftijdBereikt_AG="Nee","Zie WERK-tabel",SUM(V107:V109))</f>
        <v>Zie WERK-tabel</v>
      </c>
      <c r="W110" s="415" t="str">
        <f>IF(BGAOWLeeftijdBereikt_AP="Nee","Zie WERK-tabel",SUM(W107:W109))</f>
        <v>Zie WERK-tabel</v>
      </c>
      <c r="X110" s="415" t="str">
        <f>IF(BGAOWLeeftijdBereikt_AG="Nee","Zie WERK-tabel",SUM(X107:X109))</f>
        <v>Zie WERK-tabel</v>
      </c>
      <c r="Y110" s="415" t="str">
        <f>IF(BGAOWLeeftijdBereikt_AP="Nee","Zie WERK-tabel",SUM(Y107:Y109))</f>
        <v>Zie WERK-tabel</v>
      </c>
      <c r="Z110" s="415" t="str">
        <f>IF(BGAOWLeeftijdBereikt_AG="Nee","Zie WERK-tabel",SUM(Z107:Z109))</f>
        <v>Zie WERK-tabel</v>
      </c>
      <c r="AF110" s="2267"/>
    </row>
    <row r="111" spans="1:32" x14ac:dyDescent="0.25">
      <c r="A111" s="273">
        <v>55</v>
      </c>
      <c r="B111" s="668" t="s">
        <v>63</v>
      </c>
      <c r="C111" s="863">
        <f t="shared" si="28"/>
        <v>0</v>
      </c>
      <c r="D111" s="988">
        <f t="shared" si="26"/>
        <v>0</v>
      </c>
      <c r="E111" s="863">
        <f t="shared" si="28"/>
        <v>0</v>
      </c>
      <c r="F111" s="987">
        <f t="shared" si="27"/>
        <v>0</v>
      </c>
      <c r="G111" s="2738" t="s">
        <v>1012</v>
      </c>
      <c r="H111" s="2739"/>
      <c r="I111" s="2739"/>
      <c r="J111" s="2740"/>
      <c r="R111" s="2"/>
      <c r="AF111" s="2267"/>
    </row>
    <row r="112" spans="1:32" ht="15.75" thickBot="1" x14ac:dyDescent="0.3">
      <c r="A112" s="273">
        <v>56</v>
      </c>
      <c r="B112" s="668" t="s">
        <v>282</v>
      </c>
      <c r="C112" s="863">
        <f t="shared" si="28"/>
        <v>0</v>
      </c>
      <c r="D112" s="988">
        <f t="shared" si="26"/>
        <v>0</v>
      </c>
      <c r="E112" s="863">
        <f t="shared" si="28"/>
        <v>0</v>
      </c>
      <c r="F112" s="987">
        <f t="shared" si="27"/>
        <v>0</v>
      </c>
      <c r="G112" s="2738" t="s">
        <v>1012</v>
      </c>
      <c r="H112" s="2739"/>
      <c r="I112" s="2739"/>
      <c r="J112" s="2740"/>
      <c r="R112" s="2"/>
      <c r="AF112" s="2267"/>
    </row>
    <row r="113" spans="1:32" ht="15" customHeight="1" thickBot="1" x14ac:dyDescent="0.3">
      <c r="A113" s="273">
        <v>57</v>
      </c>
      <c r="B113" s="668" t="s">
        <v>729</v>
      </c>
      <c r="C113" s="863">
        <f t="shared" si="28"/>
        <v>0</v>
      </c>
      <c r="D113" s="988">
        <f t="shared" si="26"/>
        <v>0</v>
      </c>
      <c r="E113" s="863">
        <f t="shared" si="28"/>
        <v>0</v>
      </c>
      <c r="F113" s="987">
        <f t="shared" si="27"/>
        <v>0</v>
      </c>
      <c r="G113" s="2738" t="s">
        <v>1012</v>
      </c>
      <c r="H113" s="2739"/>
      <c r="I113" s="2739"/>
      <c r="J113" s="2740"/>
      <c r="L113" s="2">
        <v>115</v>
      </c>
      <c r="M113" s="24" t="str">
        <f>"Arbeidskorting "&amp;BGJaarBerekening&amp;" (Werkend)"</f>
        <v>Arbeidskorting 2024 (Werkend)</v>
      </c>
      <c r="N113" s="25"/>
      <c r="O113" s="20" t="s">
        <v>1099</v>
      </c>
      <c r="P113" s="2"/>
      <c r="Q113" s="2"/>
      <c r="R113" s="2"/>
      <c r="T113" s="2684" t="s">
        <v>492</v>
      </c>
      <c r="U113" s="2685"/>
      <c r="AF113" s="2267"/>
    </row>
    <row r="114" spans="1:32" ht="15.75" thickBot="1" x14ac:dyDescent="0.3">
      <c r="A114" s="559">
        <v>58</v>
      </c>
      <c r="B114" s="669" t="s">
        <v>283</v>
      </c>
      <c r="C114" s="864">
        <f t="shared" si="28"/>
        <v>0</v>
      </c>
      <c r="D114" s="230">
        <f t="shared" si="26"/>
        <v>0</v>
      </c>
      <c r="E114" s="864">
        <f t="shared" si="28"/>
        <v>0</v>
      </c>
      <c r="F114" s="987">
        <f t="shared" si="27"/>
        <v>0</v>
      </c>
      <c r="G114" s="2805" t="s">
        <v>1012</v>
      </c>
      <c r="H114" s="2806"/>
      <c r="I114" s="2806"/>
      <c r="J114" s="2807"/>
      <c r="L114" s="999"/>
      <c r="M114" s="24"/>
      <c r="N114" s="2475"/>
      <c r="O114" s="2709" t="s">
        <v>190</v>
      </c>
      <c r="P114" s="2710"/>
      <c r="Q114" s="547">
        <f>Q79</f>
        <v>0</v>
      </c>
      <c r="R114" s="547">
        <f>R79</f>
        <v>0</v>
      </c>
      <c r="S114" s="58" t="s">
        <v>657</v>
      </c>
      <c r="T114" s="415">
        <f>Q114</f>
        <v>0</v>
      </c>
      <c r="U114" s="546">
        <f>R114</f>
        <v>0</v>
      </c>
      <c r="V114" s="58" t="s">
        <v>1013</v>
      </c>
      <c r="AF114" s="2267"/>
    </row>
    <row r="115" spans="1:32" ht="15.75" thickBot="1" x14ac:dyDescent="0.3">
      <c r="M115" s="1046" t="s">
        <v>129</v>
      </c>
      <c r="N115" s="1047" t="s">
        <v>68</v>
      </c>
      <c r="O115" s="1047" t="s">
        <v>130</v>
      </c>
      <c r="P115" s="1048" t="s">
        <v>78</v>
      </c>
      <c r="Q115" s="22" t="str">
        <f>BGPartner_AP</f>
        <v>Alimentatie Plichtig</v>
      </c>
      <c r="R115" s="68" t="str">
        <f>BGPartner_AG</f>
        <v>Alimentatie Gerechtigd</v>
      </c>
      <c r="S115" s="51" t="s">
        <v>132</v>
      </c>
      <c r="T115" s="57" t="str">
        <f>BGPartner_AP</f>
        <v>Alimentatie Plichtig</v>
      </c>
      <c r="U115" s="48" t="str">
        <f>BGPartner_AG</f>
        <v>Alimentatie Gerechtigd</v>
      </c>
      <c r="AF115" s="2267"/>
    </row>
    <row r="116" spans="1:32" ht="15.75" thickBot="1" x14ac:dyDescent="0.3">
      <c r="A116" s="158">
        <v>42</v>
      </c>
      <c r="B116" s="104" t="s">
        <v>416</v>
      </c>
      <c r="C116" s="61" t="str">
        <f>BGPartner_AP</f>
        <v>Alimentatie Plichtig</v>
      </c>
      <c r="E116" s="22" t="str">
        <f>BGPartner_AG</f>
        <v>Alimentatie Gerechtigd</v>
      </c>
      <c r="M116" s="1049">
        <v>0</v>
      </c>
      <c r="N116" s="722">
        <v>11491</v>
      </c>
      <c r="O116" s="722">
        <v>0</v>
      </c>
      <c r="P116" s="1050">
        <v>8.4250000000000005E-2</v>
      </c>
      <c r="Q116" s="355">
        <f>IF(AND($Q$114&gt;$M116,$Q$114&lt;=$N116),P116*$Q$114,0)</f>
        <v>0</v>
      </c>
      <c r="R116" s="629">
        <f>IF(AND($R$114&gt;$M116,$R$114&lt;=$N116),P116*$R$114,0)</f>
        <v>0</v>
      </c>
      <c r="S116" s="1005" t="str">
        <f>P116*100&amp;"% x arbeidsinkomen (nr. 54 en 70 en 76)"</f>
        <v>8,425% x arbeidsinkomen (nr. 54 en 70 en 76)</v>
      </c>
      <c r="T116" s="355">
        <f>IF(AND($T$114&gt;$M116,$T$114&lt;=$N116),P116*$T$114,0)</f>
        <v>0</v>
      </c>
      <c r="U116" s="629">
        <f>IF(AND($U$114&gt;$M116,$U$114&lt;=$N116),P116*$U$114,0)</f>
        <v>0</v>
      </c>
      <c r="AF116" s="2267"/>
    </row>
    <row r="117" spans="1:32" ht="15.75" thickBot="1" x14ac:dyDescent="0.3">
      <c r="B117" s="269" t="s">
        <v>350</v>
      </c>
      <c r="C117" s="44" t="s">
        <v>92</v>
      </c>
      <c r="D117" s="2" t="s">
        <v>850</v>
      </c>
      <c r="E117" s="44" t="s">
        <v>92</v>
      </c>
      <c r="F117" s="2" t="s">
        <v>850</v>
      </c>
      <c r="M117" s="1051">
        <f>N116</f>
        <v>11491</v>
      </c>
      <c r="N117" s="702">
        <v>24821</v>
      </c>
      <c r="O117" s="702">
        <v>968</v>
      </c>
      <c r="P117" s="749">
        <v>0.31433</v>
      </c>
      <c r="Q117" s="356">
        <f>IF(AND($Q$114&gt;$M117,$Q$114&lt;=$N117),$O117+($P117*($Q$114-($M117-1))),0)</f>
        <v>0</v>
      </c>
      <c r="R117" s="630">
        <f>IF(AND($R$114&gt;$M117,$R$114&lt;=$N117),$O117+($P117*($R$114-($M117-1))),0)</f>
        <v>0</v>
      </c>
      <c r="S117" s="1004" t="str">
        <f>"€ "&amp;O117&amp;" + "&amp;P117*100&amp;"% x (arbeidsinkomen - € "&amp;M117-1&amp;")"</f>
        <v>€ 968 + 31,433% x (arbeidsinkomen - € 11490)</v>
      </c>
      <c r="T117" s="356">
        <f>IF(AND($T$114&gt;$M117,$T$114&lt;=$N117),$O117+($P117*($T$114-($M117-1))),0)</f>
        <v>0</v>
      </c>
      <c r="U117" s="630">
        <f>IF(AND($U$114&gt;$M117,$U$114&lt;=$N117),$O117+($P117*($U$114-($M117-1))),0)</f>
        <v>0</v>
      </c>
      <c r="AF117" s="2267"/>
    </row>
    <row r="118" spans="1:32" ht="15.75" thickBot="1" x14ac:dyDescent="0.3">
      <c r="A118" s="9" t="s">
        <v>240</v>
      </c>
      <c r="B118" s="108" t="s">
        <v>71</v>
      </c>
      <c r="C118" s="22" t="str">
        <f>IF(C117="Maand","Per Maand",IF(C117="4 Weken","Per 4-weken",IF(C117="Anders","Anders","")))</f>
        <v>Per Maand</v>
      </c>
      <c r="D118" s="118" t="s">
        <v>346</v>
      </c>
      <c r="E118" s="22" t="str">
        <f>IF(E117="Maand","Per Maand",IF(E117="4 Weken","Per 4-weken",IF(E117="Anders","Anders","")))</f>
        <v>Per Maand</v>
      </c>
      <c r="F118" s="68" t="s">
        <v>346</v>
      </c>
      <c r="G118" s="2677" t="s">
        <v>208</v>
      </c>
      <c r="H118" s="2678"/>
      <c r="I118" s="2678"/>
      <c r="J118" s="2679"/>
      <c r="M118" s="1051">
        <f>N117</f>
        <v>24821</v>
      </c>
      <c r="N118" s="702">
        <v>39958</v>
      </c>
      <c r="O118" s="1052">
        <v>5158</v>
      </c>
      <c r="P118" s="749">
        <v>2.4709999999999999E-2</v>
      </c>
      <c r="Q118" s="356">
        <f>IF(AND(Q$114&gt;$M118,Q$114&lt;=$N118),$O118+($P118*(Q$114-($M118-1))),0)</f>
        <v>0</v>
      </c>
      <c r="R118" s="630">
        <f>IF(AND($R$114&gt;$M118,$R$114&lt;=$N118),$O118+($P118*($R$114-($M118-1))),0)</f>
        <v>0</v>
      </c>
      <c r="S118" s="1004" t="str">
        <f>"€ "&amp;O118&amp;" + "&amp;P118*100&amp;"% x (arbeidsinkomen - € "&amp;M118-1&amp;")"</f>
        <v>€ 5158 + 2,471% x (arbeidsinkomen - € 24820)</v>
      </c>
      <c r="T118" s="356">
        <f>IF(AND(T$114&gt;$M118,T$114&lt;=$N118),$O118+($P118*(T$114-($M118-1))),0)</f>
        <v>0</v>
      </c>
      <c r="U118" s="630">
        <f>IF(AND($U$114&gt;$M118,$U$114&lt;=$N118),$O118+($P118*($U$114-($M118-1))),0)</f>
        <v>0</v>
      </c>
      <c r="AF118" s="2267"/>
    </row>
    <row r="119" spans="1:32" x14ac:dyDescent="0.25">
      <c r="A119" s="28"/>
      <c r="B119" s="109" t="s">
        <v>148</v>
      </c>
      <c r="C119" s="96">
        <v>0</v>
      </c>
      <c r="D119" s="934">
        <f>IF(C$117="Maand",C119*12,IF(C$117="Jaar",C119,0))</f>
        <v>0</v>
      </c>
      <c r="E119" s="96">
        <v>0</v>
      </c>
      <c r="F119" s="931">
        <f>IF(E$117="Maand",E119*12,IF(E$117="Jaar",E119,0))</f>
        <v>0</v>
      </c>
      <c r="G119" s="2735" t="s">
        <v>428</v>
      </c>
      <c r="H119" s="2736"/>
      <c r="I119" s="2736"/>
      <c r="J119" s="2737"/>
      <c r="M119" s="1051">
        <f>N118</f>
        <v>39958</v>
      </c>
      <c r="N119" s="702">
        <v>124935</v>
      </c>
      <c r="O119" s="702">
        <v>5532</v>
      </c>
      <c r="P119" s="749">
        <v>6.5100000000000005E-2</v>
      </c>
      <c r="Q119" s="356">
        <f>IF(AND($Q$114&gt;$M119,$Q$114&lt;=$N119),$O119-($P119*($Q$114-($M119-1))),0)</f>
        <v>0</v>
      </c>
      <c r="R119" s="630">
        <f>IF(AND($R$114&gt;$M119,$R$114&lt;=$N119),$O119-($P119*($R$114-($M119-1))),0)</f>
        <v>0</v>
      </c>
      <c r="S119" s="1004" t="str">
        <f>"€ "&amp;O119&amp;" - "&amp;P119*100&amp;"% x (arbeidsinkomen - € "&amp;M119-1&amp;")"</f>
        <v>€ 5532 - 6,51% x (arbeidsinkomen - € 39957)</v>
      </c>
      <c r="T119" s="356">
        <f>IF(AND($T$114&gt;$M119,$T$114&lt;=$N119),$O119-(P119*($T$114-($M119-1))),0)</f>
        <v>0</v>
      </c>
      <c r="U119" s="630">
        <f>IF(AND($U$114&gt;$M119,$U$114&lt;=$N119),$O119-(P119*($U$114-($M119-1))),0)</f>
        <v>0</v>
      </c>
      <c r="AF119" s="2267"/>
    </row>
    <row r="120" spans="1:32" ht="15.75" thickBot="1" x14ac:dyDescent="0.3">
      <c r="A120" s="166"/>
      <c r="B120" s="110" t="s">
        <v>1014</v>
      </c>
      <c r="C120" s="39">
        <v>0</v>
      </c>
      <c r="D120" s="935">
        <f>IF(C$117="Maand",C120*12,IF(C$117="Jaar",C120,0))</f>
        <v>0</v>
      </c>
      <c r="E120" s="39">
        <v>0</v>
      </c>
      <c r="F120" s="932">
        <f>IF(E$117="Maand",E120*12,IF(E$117="Jaar",E120,0))</f>
        <v>0</v>
      </c>
      <c r="G120" s="2805" t="s">
        <v>428</v>
      </c>
      <c r="H120" s="2806"/>
      <c r="I120" s="2806"/>
      <c r="J120" s="2807"/>
      <c r="L120" s="33"/>
      <c r="M120" s="1053">
        <f>N119</f>
        <v>124935</v>
      </c>
      <c r="N120" s="702" t="s">
        <v>69</v>
      </c>
      <c r="O120" s="702">
        <v>0</v>
      </c>
      <c r="P120" s="750"/>
      <c r="Q120" s="631">
        <v>0</v>
      </c>
      <c r="R120" s="632">
        <v>0</v>
      </c>
      <c r="S120" s="41"/>
      <c r="T120" s="631">
        <v>0</v>
      </c>
      <c r="U120" s="632">
        <v>0</v>
      </c>
      <c r="AF120" s="2267"/>
    </row>
    <row r="121" spans="1:32" ht="15.75" thickBot="1" x14ac:dyDescent="0.3">
      <c r="A121" s="616">
        <v>42</v>
      </c>
      <c r="B121" s="617" t="s">
        <v>737</v>
      </c>
      <c r="C121" s="618">
        <f>SUM(C119:C120)</f>
        <v>0</v>
      </c>
      <c r="D121" s="936">
        <f>SUM(D119:D120)</f>
        <v>0</v>
      </c>
      <c r="E121" s="618">
        <f>SUM(E119:E120)</f>
        <v>0</v>
      </c>
      <c r="F121" s="933">
        <f>SUM(F119:F120)</f>
        <v>0</v>
      </c>
      <c r="M121" s="2706" t="s">
        <v>131</v>
      </c>
      <c r="N121" s="2711"/>
      <c r="O121" s="2711"/>
      <c r="P121" s="2711"/>
      <c r="Q121" s="353">
        <f>IF(BGAOWLeeftijdBereikt_AP="Ja","Zie AOW-tabel",SUM(Q116:Q120))</f>
        <v>0</v>
      </c>
      <c r="R121" s="548">
        <f>IF(BGAOWLeeftijdBereikt_AG="Ja","Zie AOW-tabel",SUM(R116:R120))</f>
        <v>0</v>
      </c>
      <c r="T121" s="353">
        <f>IF(BGAOWLeeftijdBereikt_AP="Ja","Zie AOW-tabel",SUM(T116:T120))</f>
        <v>0</v>
      </c>
      <c r="U121" s="548">
        <f>IF(BGAOWLeeftijdBereikt_AG="Ja","Zie AOW-tabel",SUM(U116:U120))</f>
        <v>0</v>
      </c>
      <c r="AF121" s="2267"/>
    </row>
    <row r="122" spans="1:32" ht="15" customHeight="1" thickBot="1" x14ac:dyDescent="0.3">
      <c r="A122" s="1196">
        <v>51</v>
      </c>
      <c r="B122" s="109" t="s">
        <v>241</v>
      </c>
      <c r="C122" s="78">
        <v>0</v>
      </c>
      <c r="D122" s="49">
        <f>IF(C$117="Maand",C122*12,IF(C$117="Jaar",C122,0))</f>
        <v>0</v>
      </c>
      <c r="E122" s="78">
        <v>0</v>
      </c>
      <c r="F122" s="865">
        <f>IF(E$117="Maand",E122*12,IF(E$117="Jaar",E122,0))</f>
        <v>0</v>
      </c>
      <c r="G122" s="2767" t="s">
        <v>428</v>
      </c>
      <c r="H122" s="2763"/>
      <c r="I122" s="2763"/>
      <c r="J122" s="2804"/>
      <c r="M122" s="1032"/>
      <c r="N122" s="1032"/>
      <c r="O122" s="1032"/>
      <c r="P122" s="1032"/>
      <c r="AF122" s="2267"/>
    </row>
    <row r="123" spans="1:32" ht="15.75" thickBot="1" x14ac:dyDescent="0.3">
      <c r="A123" s="161">
        <v>57</v>
      </c>
      <c r="B123" s="1199" t="str">
        <f>"Ingehouden ZVW-premie a "&amp;C220*100&amp;"% over"</f>
        <v>Ingehouden ZVW-premie a 5,32% over</v>
      </c>
      <c r="C123" s="1200">
        <v>0</v>
      </c>
      <c r="D123" s="56">
        <f>IF(C$117="Maand",C123*12,IF(C$117="Jaar",C123,0))</f>
        <v>0</v>
      </c>
      <c r="E123" s="1200">
        <v>0</v>
      </c>
      <c r="F123" s="56">
        <f>IF(E$117="Maand",E123*12,IF(E$117="Jaar",E123,0))</f>
        <v>0</v>
      </c>
      <c r="G123" s="2836" t="s">
        <v>923</v>
      </c>
      <c r="H123" s="2837"/>
      <c r="I123" s="2837"/>
      <c r="J123" s="2838"/>
      <c r="L123" s="2">
        <v>115</v>
      </c>
      <c r="M123" s="24" t="str">
        <f>"Arbeidskorting "&amp;BGJaarBerekening&amp;" (AOW-er)"</f>
        <v>Arbeidskorting 2024 (AOW-er)</v>
      </c>
      <c r="N123" s="25"/>
      <c r="O123" s="1054"/>
      <c r="P123" s="1054"/>
      <c r="Q123" s="148"/>
      <c r="R123" s="148"/>
      <c r="S123" s="58"/>
      <c r="AF123" s="2267"/>
    </row>
    <row r="124" spans="1:32" ht="15.75" thickBot="1" x14ac:dyDescent="0.3">
      <c r="C124" s="117"/>
      <c r="E124" s="117"/>
      <c r="M124" s="1046" t="s">
        <v>129</v>
      </c>
      <c r="N124" s="1047" t="s">
        <v>68</v>
      </c>
      <c r="O124" s="1047" t="s">
        <v>130</v>
      </c>
      <c r="P124" s="1048" t="s">
        <v>78</v>
      </c>
      <c r="Q124" s="22" t="str">
        <f>BGPartner_AP</f>
        <v>Alimentatie Plichtig</v>
      </c>
      <c r="R124" s="68" t="str">
        <f>BGPartner_AG</f>
        <v>Alimentatie Gerechtigd</v>
      </c>
      <c r="S124" s="51" t="s">
        <v>132</v>
      </c>
      <c r="T124" s="57" t="str">
        <f>BGPartner_AP</f>
        <v>Alimentatie Plichtig</v>
      </c>
      <c r="U124" s="48" t="str">
        <f>BGPartner_AG</f>
        <v>Alimentatie Gerechtigd</v>
      </c>
      <c r="AF124" s="2267"/>
    </row>
    <row r="125" spans="1:32" ht="15.75" thickBot="1" x14ac:dyDescent="0.3">
      <c r="A125" s="158">
        <v>43</v>
      </c>
      <c r="B125" s="104" t="s">
        <v>307</v>
      </c>
      <c r="C125" s="61" t="str">
        <f>BGPartner_AP</f>
        <v>Alimentatie Plichtig</v>
      </c>
      <c r="E125" s="22" t="str">
        <f>BGPartner_AG</f>
        <v>Alimentatie Gerechtigd</v>
      </c>
      <c r="M125" s="1049">
        <v>0</v>
      </c>
      <c r="N125" s="636">
        <f>N116</f>
        <v>11491</v>
      </c>
      <c r="O125" s="722">
        <v>0</v>
      </c>
      <c r="P125" s="1050">
        <v>4.3459999999999999E-2</v>
      </c>
      <c r="Q125" s="501">
        <f>IF(AND($Q$114&gt;$M125,$Q$114&lt;=$N125),P125*$Q$114,0)</f>
        <v>0</v>
      </c>
      <c r="R125" s="1522">
        <f>IF(AND($R$114&gt;$M125,$R$114&lt;=$N125),P125*$R$114,0)</f>
        <v>0</v>
      </c>
      <c r="S125" s="1005" t="str">
        <f>P125*100&amp;"% x arbeidsinkomen (nr. 54 en 70 en 76)"</f>
        <v>4,346% x arbeidsinkomen (nr. 54 en 70 en 76)</v>
      </c>
      <c r="T125" s="355">
        <f>IF(AND($T$114&gt;$M125,$T$114&lt;=$N125),P125*$T$114,0)</f>
        <v>0</v>
      </c>
      <c r="U125" s="629">
        <f>IF(AND($U$114&gt;$M125,$U$114&lt;=$N125),P125*$U$114,0)</f>
        <v>0</v>
      </c>
      <c r="AF125" s="2267"/>
    </row>
    <row r="126" spans="1:32" ht="15" customHeight="1" thickBot="1" x14ac:dyDescent="0.3">
      <c r="B126" s="269" t="s">
        <v>350</v>
      </c>
      <c r="C126" s="44" t="s">
        <v>92</v>
      </c>
      <c r="D126" s="2" t="s">
        <v>850</v>
      </c>
      <c r="E126" s="44" t="s">
        <v>92</v>
      </c>
      <c r="F126" s="2" t="s">
        <v>850</v>
      </c>
      <c r="M126" s="1051">
        <f>N125</f>
        <v>11491</v>
      </c>
      <c r="N126" s="714">
        <f>N117</f>
        <v>24821</v>
      </c>
      <c r="O126" s="702">
        <v>501</v>
      </c>
      <c r="P126" s="749">
        <v>0.16214000000000001</v>
      </c>
      <c r="Q126" s="502">
        <f>IF(AND($Q$114&gt;$M126,$Q$114&lt;=$N126),$O126+($P126*($Q$114-($M126-1))),0)</f>
        <v>0</v>
      </c>
      <c r="R126" s="2476">
        <f>IF(AND($R$114&gt;$M126,$R$114&lt;=$N126),$O126+($P126*($R$114-($M126-1))),0)</f>
        <v>0</v>
      </c>
      <c r="S126" s="1004" t="str">
        <f>"€ "&amp;O126&amp;" + "&amp;P126*100&amp;"% x (arbeidsinkomen - € "&amp;M126-1&amp;")"</f>
        <v>€ 501 + 16,214% x (arbeidsinkomen - € 11490)</v>
      </c>
      <c r="T126" s="356">
        <f>IF(AND($T$114&gt;$M126,$T$114&lt;=$N126),$O126+($P126*($T$114-($M126-1))),0)</f>
        <v>0</v>
      </c>
      <c r="U126" s="630">
        <f>IF(AND($U$114&gt;$M126,$U$114&lt;=$N126),$O126+($P126*($U$114-($M126-1))),0)</f>
        <v>0</v>
      </c>
      <c r="AF126" s="2267"/>
    </row>
    <row r="127" spans="1:32" ht="15.75" thickBot="1" x14ac:dyDescent="0.3">
      <c r="A127" s="9" t="s">
        <v>240</v>
      </c>
      <c r="B127" s="108" t="s">
        <v>71</v>
      </c>
      <c r="C127" s="22" t="str">
        <f>IF(C126="Maand","Per Maand",IF(C126="4 Weken","Per 4-weken",IF(C126="Anders","Anders","")))</f>
        <v>Per Maand</v>
      </c>
      <c r="D127" s="118" t="s">
        <v>346</v>
      </c>
      <c r="E127" s="22" t="str">
        <f>IF(E126="Maand","Per Maand",IF(E126="4 Weken","Per 4-weken",IF(E126="Anders","Anders","")))</f>
        <v>Per Maand</v>
      </c>
      <c r="F127" s="118" t="s">
        <v>346</v>
      </c>
      <c r="G127" s="2677" t="s">
        <v>208</v>
      </c>
      <c r="H127" s="2678"/>
      <c r="I127" s="2678"/>
      <c r="J127" s="2679"/>
      <c r="M127" s="1051">
        <f>N126</f>
        <v>24821</v>
      </c>
      <c r="N127" s="714">
        <f t="shared" ref="N127:N128" si="29">N118</f>
        <v>39958</v>
      </c>
      <c r="O127" s="1052">
        <v>2662</v>
      </c>
      <c r="P127" s="749">
        <v>1.2749999999999999E-2</v>
      </c>
      <c r="Q127" s="502">
        <f>IF(AND($Q$114&gt;$M127,$Q$114&lt;=$N127),$O127+($P127*($Q$114-($M127-1))),0)</f>
        <v>0</v>
      </c>
      <c r="R127" s="2476">
        <f>IF(AND($R$114&gt;$M127,$R$114&lt;=$N127),$O127+($P127*($R$114-($M127-1))),0)</f>
        <v>0</v>
      </c>
      <c r="S127" s="1004" t="str">
        <f>"€ "&amp;O127&amp;" + "&amp;P127*100&amp;"% x (arbeidsinkomen - € "&amp;M127-1&amp;")"</f>
        <v>€ 2662 + 1,275% x (arbeidsinkomen - € 24820)</v>
      </c>
      <c r="T127" s="356">
        <f>IF(AND($T$114&gt;$M127,$T$114&lt;=$N127),$O127+($P127*($T$114-($M127-1))),0)</f>
        <v>0</v>
      </c>
      <c r="U127" s="630">
        <f>IF(AND($U$114&gt;$M127,$U$114&lt;=$N127),$O127+($P127*($U$114-($M127-1))),0)</f>
        <v>0</v>
      </c>
      <c r="AF127" s="2267"/>
    </row>
    <row r="128" spans="1:32" x14ac:dyDescent="0.25">
      <c r="A128" s="67"/>
      <c r="B128" s="159" t="s">
        <v>442</v>
      </c>
      <c r="C128" s="227">
        <v>0</v>
      </c>
      <c r="D128" s="1646">
        <f>IF(C$126="Maand",C128*12,IF(C$126="Jaar",C128,0))</f>
        <v>0</v>
      </c>
      <c r="E128" s="227">
        <v>0</v>
      </c>
      <c r="F128" s="1646">
        <f>IF(E$126="Maand",E128*12,IF(E$126="Jaar",E128,0))</f>
        <v>0</v>
      </c>
      <c r="G128" s="2782" t="s">
        <v>441</v>
      </c>
      <c r="H128" s="2783"/>
      <c r="I128" s="2783"/>
      <c r="J128" s="2784"/>
      <c r="M128" s="1051">
        <f>N127</f>
        <v>39958</v>
      </c>
      <c r="N128" s="714">
        <f t="shared" si="29"/>
        <v>124935</v>
      </c>
      <c r="O128" s="702">
        <v>2854</v>
      </c>
      <c r="P128" s="749">
        <v>3.3579999999999999E-2</v>
      </c>
      <c r="Q128" s="502">
        <f>IF(AND($Q$114&gt;$M128,$Q$114&lt;=$N128),$O128-($P128*($Q$114-($M128-1))),0)</f>
        <v>0</v>
      </c>
      <c r="R128" s="2476">
        <f>IF(AND($R$114&gt;$M128,$R$114&lt;=$N128),$O128-($P128*($R$114-($M128-1))),0)</f>
        <v>0</v>
      </c>
      <c r="S128" s="1004" t="str">
        <f>"€ "&amp;O128&amp;" - "&amp;P128*100&amp;"% x (arbeidsinkomen - € "&amp;M128-1&amp;")"</f>
        <v>€ 2854 - 3,358% x (arbeidsinkomen - € 39957)</v>
      </c>
      <c r="T128" s="356">
        <f>IF(AND($T$114&gt;$M128,$T$114&lt;=$N128),$O128-(P128*($T$114-($M128-1))),0)</f>
        <v>0</v>
      </c>
      <c r="U128" s="630">
        <f>IF(AND($U$114&gt;$M128,$U$114&lt;=$N128),$O128-(P128*($U$114-(M128-1))),0)</f>
        <v>0</v>
      </c>
      <c r="AF128" s="2267"/>
    </row>
    <row r="129" spans="1:32" ht="15.75" thickBot="1" x14ac:dyDescent="0.3">
      <c r="A129" s="66"/>
      <c r="B129" s="146" t="s">
        <v>680</v>
      </c>
      <c r="C129" s="97" t="s">
        <v>106</v>
      </c>
      <c r="D129" s="660"/>
      <c r="E129" s="97" t="s">
        <v>106</v>
      </c>
      <c r="F129" s="660"/>
      <c r="G129" s="2738"/>
      <c r="H129" s="2739"/>
      <c r="I129" s="2739"/>
      <c r="J129" s="2740"/>
      <c r="M129" s="1053">
        <f>N128</f>
        <v>124935</v>
      </c>
      <c r="N129" s="702" t="s">
        <v>69</v>
      </c>
      <c r="O129" s="702">
        <v>0</v>
      </c>
      <c r="P129" s="750"/>
      <c r="Q129" s="625">
        <v>0</v>
      </c>
      <c r="R129" s="2477">
        <v>0</v>
      </c>
      <c r="S129" s="41"/>
      <c r="T129" s="631">
        <v>0</v>
      </c>
      <c r="U129" s="632">
        <v>0</v>
      </c>
      <c r="AF129" s="2267"/>
    </row>
    <row r="130" spans="1:32" ht="15.75" thickBot="1" x14ac:dyDescent="0.3">
      <c r="A130" s="166">
        <v>44</v>
      </c>
      <c r="B130" s="160" t="s">
        <v>349</v>
      </c>
      <c r="C130" s="322">
        <f>IF(C129="Nee",0,0.08*C128)</f>
        <v>0</v>
      </c>
      <c r="D130" s="2290">
        <f>IF(C$126="Maand",C130*12,IF(C$126="Jaar",C130,0))</f>
        <v>0</v>
      </c>
      <c r="E130" s="322">
        <f>IF(E129="Nee",0,0.08*E128)</f>
        <v>0</v>
      </c>
      <c r="F130" s="2290">
        <f>IF(E$126="Maand",E130*12,IF(E$126="Jaar",E130,0))</f>
        <v>0</v>
      </c>
      <c r="G130" s="2729" t="s">
        <v>441</v>
      </c>
      <c r="H130" s="2730"/>
      <c r="I130" s="2730"/>
      <c r="J130" s="2731"/>
      <c r="M130" s="2706" t="s">
        <v>131</v>
      </c>
      <c r="N130" s="2711"/>
      <c r="O130" s="2711"/>
      <c r="P130" s="2711"/>
      <c r="Q130" s="415" t="str">
        <f>IF(BGAOWLeeftijdBereikt_AP="Nee","Zie WERK-tabel",SUM(Q125:Q129))</f>
        <v>Zie WERK-tabel</v>
      </c>
      <c r="R130" s="550" t="str">
        <f>IF(BGAOWLeeftijdBereikt_AG="Nee","Zie WERK-tabel",SUM(R125:R129))</f>
        <v>Zie WERK-tabel</v>
      </c>
      <c r="T130" s="415" t="str">
        <f>IF(BGAOWLeeftijdBereikt_AP="Nee","Zie WERK-tabel",SUM(T125:T129))</f>
        <v>Zie WERK-tabel</v>
      </c>
      <c r="U130" s="550" t="str">
        <f>IF(BGAOWLeeftijdBereikt_AG="Nee","Zie WERK-tabel",SUM(U125:U129))</f>
        <v>Zie WERK-tabel</v>
      </c>
      <c r="AF130" s="2267"/>
    </row>
    <row r="131" spans="1:32" ht="15.75" thickBot="1" x14ac:dyDescent="0.3">
      <c r="A131" s="165">
        <v>43</v>
      </c>
      <c r="B131" s="111" t="s">
        <v>149</v>
      </c>
      <c r="C131" s="56">
        <f>SUM(C128:C130)</f>
        <v>0</v>
      </c>
      <c r="D131" s="2291">
        <f>SUM(D128:D130)</f>
        <v>0</v>
      </c>
      <c r="E131" s="56">
        <f>SUM(E128:E130)</f>
        <v>0</v>
      </c>
      <c r="F131" s="329">
        <f>SUM(F128:F130)</f>
        <v>0</v>
      </c>
      <c r="M131" s="1032"/>
      <c r="N131" s="1032"/>
      <c r="O131" s="1032"/>
      <c r="P131" s="1032"/>
      <c r="AF131" s="2267"/>
    </row>
    <row r="132" spans="1:32" ht="15.75" thickBot="1" x14ac:dyDescent="0.3">
      <c r="A132" s="161">
        <v>51</v>
      </c>
      <c r="B132" s="112" t="s">
        <v>241</v>
      </c>
      <c r="C132" s="135">
        <v>0</v>
      </c>
      <c r="D132" s="271">
        <f>IF(C$126="Maand",C132*12,IF(C$126="Jaar",C132,0))</f>
        <v>0</v>
      </c>
      <c r="E132" s="135">
        <v>0</v>
      </c>
      <c r="F132" s="259">
        <f>IF(E$126="Maand",E132*12,IF(E$126="Jaar",E132,0))</f>
        <v>0</v>
      </c>
      <c r="L132" s="2">
        <v>115</v>
      </c>
      <c r="M132" s="24" t="str">
        <f>"Ouderenkorting "&amp;BGJaarBerekening</f>
        <v>Ouderenkorting 2024</v>
      </c>
      <c r="N132" s="1055" t="s">
        <v>140</v>
      </c>
      <c r="O132" s="1032"/>
      <c r="P132" s="1032"/>
      <c r="T132" s="2684" t="s">
        <v>492</v>
      </c>
      <c r="U132" s="2685"/>
      <c r="AF132" s="2267"/>
    </row>
    <row r="133" spans="1:32" ht="15.75" thickBot="1" x14ac:dyDescent="0.3">
      <c r="M133" s="1032"/>
      <c r="N133" s="1032"/>
      <c r="O133" s="2709" t="s">
        <v>192</v>
      </c>
      <c r="P133" s="2710"/>
      <c r="Q133" s="1894">
        <f>AL94VerzInkomen_AP</f>
        <v>0</v>
      </c>
      <c r="R133" s="329">
        <f>AL94VerzInkomen_AG</f>
        <v>0</v>
      </c>
      <c r="S133" s="58" t="s">
        <v>193</v>
      </c>
      <c r="T133" s="541">
        <f>Q133</f>
        <v>0</v>
      </c>
      <c r="U133" s="540">
        <f>R133</f>
        <v>0</v>
      </c>
      <c r="V133" s="58" t="s">
        <v>1013</v>
      </c>
      <c r="AF133" s="2267"/>
    </row>
    <row r="134" spans="1:32" ht="15.75" thickBot="1" x14ac:dyDescent="0.3">
      <c r="A134" s="158">
        <v>50</v>
      </c>
      <c r="B134" s="104" t="s">
        <v>151</v>
      </c>
      <c r="C134" s="61" t="str">
        <f>BGPartner_AP</f>
        <v>Alimentatie Plichtig</v>
      </c>
      <c r="E134" s="22" t="str">
        <f>BGPartner_AG</f>
        <v>Alimentatie Gerechtigd</v>
      </c>
      <c r="M134" s="1046" t="s">
        <v>129</v>
      </c>
      <c r="N134" s="1047" t="s">
        <v>68</v>
      </c>
      <c r="O134" s="1047" t="s">
        <v>130</v>
      </c>
      <c r="P134" s="1048" t="s">
        <v>78</v>
      </c>
      <c r="Q134" s="22" t="str">
        <f>BGPartner_AP</f>
        <v>Alimentatie Plichtig</v>
      </c>
      <c r="R134" s="68" t="str">
        <f>BGPartner_AG</f>
        <v>Alimentatie Gerechtigd</v>
      </c>
      <c r="S134" s="119" t="s">
        <v>132</v>
      </c>
      <c r="T134" s="22" t="str">
        <f>BGPartner_AP</f>
        <v>Alimentatie Plichtig</v>
      </c>
      <c r="U134" s="68" t="str">
        <f>BGPartner_AG</f>
        <v>Alimentatie Gerechtigd</v>
      </c>
      <c r="AF134" s="2267"/>
    </row>
    <row r="135" spans="1:32" ht="15.75" thickBot="1" x14ac:dyDescent="0.3">
      <c r="B135" s="269" t="s">
        <v>350</v>
      </c>
      <c r="C135" s="44" t="s">
        <v>92</v>
      </c>
      <c r="D135" s="2" t="s">
        <v>850</v>
      </c>
      <c r="E135" s="44" t="s">
        <v>92</v>
      </c>
      <c r="F135" s="2" t="s">
        <v>850</v>
      </c>
      <c r="M135" s="1056">
        <v>0</v>
      </c>
      <c r="N135" s="1057">
        <v>44771</v>
      </c>
      <c r="O135" s="742">
        <v>2010</v>
      </c>
      <c r="P135" s="743"/>
      <c r="Q135" s="858">
        <f>IF(AND($Q$133&gt;$M135,$Q$133&lt;=$N135),$O135,0)</f>
        <v>0</v>
      </c>
      <c r="R135" s="931">
        <f>IF(AND($R$133&gt;$M135,$R$133&lt;=$N135),$O135,0)</f>
        <v>0</v>
      </c>
      <c r="S135" s="1001" t="str">
        <f>"€ "&amp;O135</f>
        <v>€ 2010</v>
      </c>
      <c r="T135" s="501">
        <f>IF(AND($T$133&gt;$M135,$T$133&lt;=$N135),$O135,0)</f>
        <v>0</v>
      </c>
      <c r="U135" s="501">
        <f>IF(AND($U$133&gt;$M135,$U$133&lt;=$N135),$O135,0)</f>
        <v>0</v>
      </c>
      <c r="AF135" s="2267"/>
    </row>
    <row r="136" spans="1:32" ht="15.75" thickBot="1" x14ac:dyDescent="0.3">
      <c r="A136" s="9" t="s">
        <v>240</v>
      </c>
      <c r="B136" s="108" t="s">
        <v>71</v>
      </c>
      <c r="C136" s="22" t="str">
        <f>IF(C135="Maand","Per Maand",IF(C135="4 Weken","Per 4-weken",IF(C135="Anders","Anders","")))</f>
        <v>Per Maand</v>
      </c>
      <c r="D136" s="118" t="s">
        <v>346</v>
      </c>
      <c r="E136" s="22" t="str">
        <f>IF(E135="Maand","Per Maand",IF(E135="4 Weken","Per 4-weken",IF(E135="Anders","Anders","")))</f>
        <v>Per Maand</v>
      </c>
      <c r="F136" s="68" t="s">
        <v>346</v>
      </c>
      <c r="G136" s="2677" t="s">
        <v>208</v>
      </c>
      <c r="H136" s="2678"/>
      <c r="I136" s="2678"/>
      <c r="J136" s="2679"/>
      <c r="M136" s="1058">
        <f>N135</f>
        <v>44771</v>
      </c>
      <c r="N136" s="685">
        <v>58170</v>
      </c>
      <c r="O136" s="744">
        <v>0</v>
      </c>
      <c r="P136" s="745">
        <v>0.15</v>
      </c>
      <c r="Q136" s="321">
        <f>IF(AND($Q$133&gt;$M136,$Q$133&lt;=$N136),O135-($P136*($Q$133-(M136-1))),0)</f>
        <v>0</v>
      </c>
      <c r="R136" s="2478">
        <f>IF(AND($R$133&gt;$M136,$R$133&lt;=$N136),O135-($P136*($R$133-(M136-1))),0)</f>
        <v>0</v>
      </c>
      <c r="S136" s="1004" t="str">
        <f>"€ "&amp;O135&amp;" - "&amp;P136*100&amp;"% x (verzamelinkomen - € "&amp;N135-1&amp;")"</f>
        <v>€ 2010 - 15% x (verzamelinkomen - € 44770)</v>
      </c>
      <c r="T136" s="502">
        <f>IF(AND($T$133&gt;$M136,$T$133&lt;=$N136),O135-($P136*($T$133-(M136-1))),0)</f>
        <v>0</v>
      </c>
      <c r="U136" s="502">
        <f>IF(AND($U$133&gt;$M136,$U$133&lt;=$N136),O135-($P136*($U$133-(M136-1))),0)</f>
        <v>0</v>
      </c>
      <c r="AF136" s="2267"/>
    </row>
    <row r="137" spans="1:32" ht="15.75" thickBot="1" x14ac:dyDescent="0.3">
      <c r="A137" s="67"/>
      <c r="B137" s="109" t="s">
        <v>665</v>
      </c>
      <c r="C137" s="96">
        <v>0</v>
      </c>
      <c r="D137" s="858">
        <f>IF(C$135="Maand",C137*12,IF(C$135="Jaar",C137,0))</f>
        <v>0</v>
      </c>
      <c r="E137" s="96">
        <v>0</v>
      </c>
      <c r="F137" s="858">
        <f>IF(E$135="Maand",E137*12,IF(E$135="Jaar",E137,0))</f>
        <v>0</v>
      </c>
      <c r="G137" s="2735" t="s">
        <v>421</v>
      </c>
      <c r="H137" s="2736"/>
      <c r="I137" s="2736"/>
      <c r="J137" s="2737"/>
      <c r="M137" s="1059">
        <f>N136</f>
        <v>58170</v>
      </c>
      <c r="N137" s="751">
        <v>0</v>
      </c>
      <c r="O137" s="751">
        <v>0</v>
      </c>
      <c r="P137" s="752"/>
      <c r="Q137" s="2480">
        <v>0</v>
      </c>
      <c r="R137" s="2479">
        <v>0</v>
      </c>
      <c r="S137" s="41">
        <v>0</v>
      </c>
      <c r="T137" s="628">
        <v>0</v>
      </c>
      <c r="U137" s="628">
        <v>0</v>
      </c>
      <c r="AF137" s="2267"/>
    </row>
    <row r="138" spans="1:32" ht="15.75" thickBot="1" x14ac:dyDescent="0.3">
      <c r="A138" s="166"/>
      <c r="B138" s="110" t="s">
        <v>152</v>
      </c>
      <c r="C138" s="39">
        <v>0</v>
      </c>
      <c r="D138" s="859">
        <f>IF(C$135="Maand",C138*12,IF(C$135="Jaar",C138,0))</f>
        <v>0</v>
      </c>
      <c r="E138" s="39">
        <v>0</v>
      </c>
      <c r="F138" s="859">
        <f>IF(E$135="Maand",E138*12,IF(E$135="Jaar",E138,0))</f>
        <v>0</v>
      </c>
      <c r="G138" s="2805" t="s">
        <v>421</v>
      </c>
      <c r="H138" s="2806"/>
      <c r="I138" s="2806"/>
      <c r="J138" s="2807"/>
      <c r="M138" s="2712" t="s">
        <v>131</v>
      </c>
      <c r="N138" s="2719"/>
      <c r="O138" s="2719"/>
      <c r="P138" s="2719"/>
      <c r="Q138" s="56" t="str">
        <f>IF(BGJaarBerekening&gt;=YEAR($C$9),SUM(Q135:Q137),"n.v.t")</f>
        <v>n.v.t</v>
      </c>
      <c r="R138" s="329" t="str">
        <f>IF(BGJaarBerekening&gt;=YEAR($D$9),SUM(R135:R137),"n.v.t")</f>
        <v>n.v.t</v>
      </c>
      <c r="T138" s="56" t="str">
        <f>IF(BGJaarBerekening&gt;=YEAR($C$9),SUM(T135:T137),"n.v.t")</f>
        <v>n.v.t</v>
      </c>
      <c r="U138" s="329" t="str">
        <f>IF(BGJaarBerekening&gt;=YEAR($D$9),SUM(U135:U137),"n.v.t")</f>
        <v>n.v.t</v>
      </c>
      <c r="AF138" s="2267"/>
    </row>
    <row r="139" spans="1:32" ht="15.75" thickBot="1" x14ac:dyDescent="0.3">
      <c r="A139" s="1196">
        <v>50</v>
      </c>
      <c r="B139" s="617" t="s">
        <v>149</v>
      </c>
      <c r="C139" s="1197">
        <f>SUM(C137:C138)</f>
        <v>0</v>
      </c>
      <c r="D139" s="1197">
        <f>SUM(D137:D138)</f>
        <v>0</v>
      </c>
      <c r="E139" s="1197">
        <f>SUM(E137:E138)</f>
        <v>0</v>
      </c>
      <c r="F139" s="1197">
        <f>SUM(F137:F138)</f>
        <v>0</v>
      </c>
      <c r="M139" s="2716" t="s">
        <v>196</v>
      </c>
      <c r="N139" s="2717"/>
      <c r="O139" s="2717"/>
      <c r="P139" s="2717"/>
      <c r="Q139" s="2717"/>
      <c r="R139" s="2718"/>
      <c r="S139" s="330"/>
      <c r="AF139" s="2267"/>
    </row>
    <row r="140" spans="1:32" ht="15.75" thickBot="1" x14ac:dyDescent="0.3">
      <c r="A140" s="1198">
        <v>57</v>
      </c>
      <c r="B140" s="1199" t="str">
        <f>"Ingehouden ZVW-premie a "&amp;C220*100&amp;"% over"</f>
        <v>Ingehouden ZVW-premie a 5,32% over</v>
      </c>
      <c r="C140" s="1200">
        <v>0</v>
      </c>
      <c r="D140" s="56">
        <f>IF(C$135="Maand",C140*12,IF(C$135="Jaar",C140,0))</f>
        <v>0</v>
      </c>
      <c r="E140" s="1200">
        <v>0</v>
      </c>
      <c r="F140" s="56">
        <f>IF(E$135="Maand",E140*12,IF(E$135="Jaar",E140,0))</f>
        <v>0</v>
      </c>
      <c r="AF140" s="2267"/>
    </row>
    <row r="141" spans="1:32" ht="15.75" thickBot="1" x14ac:dyDescent="0.3">
      <c r="M141" s="13" t="str">
        <f>"Drempel specifieke zorgkosten "&amp;BGJaarBerekening&amp;" (deels fiscaal partner)"</f>
        <v>Drempel specifieke zorgkosten 2024 (deels fiscaal partner)</v>
      </c>
      <c r="P141" s="32" t="s">
        <v>1100</v>
      </c>
      <c r="AF141" s="2267"/>
    </row>
    <row r="142" spans="1:32" ht="15" customHeight="1" thickBot="1" x14ac:dyDescent="0.3">
      <c r="A142" s="158"/>
      <c r="B142" s="104" t="s">
        <v>377</v>
      </c>
      <c r="E142" s="300"/>
      <c r="O142" s="2723" t="s">
        <v>200</v>
      </c>
      <c r="P142" s="2724"/>
      <c r="Q142" s="415">
        <f>AL94VerzInkomen_AP+AL93PersGebAftrek_AP+'Alimentatie 2024-02'!$D145+'Alimentatie 2024-02'!$D174</f>
        <v>0</v>
      </c>
      <c r="R142" s="550">
        <f>AL94VerzInkomen_AG+AL93PersGebAftrek_AG+'Alimentatie 2024-02'!$F145+'Alimentatie 2024-02'!$F174</f>
        <v>0</v>
      </c>
      <c r="S142" s="77" t="s">
        <v>203</v>
      </c>
      <c r="AF142" s="2267"/>
    </row>
    <row r="143" spans="1:32" ht="15.75" thickBot="1" x14ac:dyDescent="0.3">
      <c r="A143" s="9" t="s">
        <v>240</v>
      </c>
      <c r="B143" s="287" t="s">
        <v>102</v>
      </c>
      <c r="C143" s="118" t="s">
        <v>337</v>
      </c>
      <c r="D143" s="27" t="str">
        <f>BGPartner_AP</f>
        <v>Alimentatie Plichtig</v>
      </c>
      <c r="E143" s="22" t="str">
        <f>BGPartner_AG</f>
        <v>Alimentatie Gerechtigd</v>
      </c>
      <c r="F143" s="2677" t="s">
        <v>339</v>
      </c>
      <c r="G143" s="2678"/>
      <c r="H143" s="2678"/>
      <c r="I143" s="2678"/>
      <c r="J143" s="2679"/>
      <c r="M143" s="60" t="s">
        <v>129</v>
      </c>
      <c r="N143" s="54" t="s">
        <v>68</v>
      </c>
      <c r="O143" s="6" t="s">
        <v>130</v>
      </c>
      <c r="P143" s="55" t="s">
        <v>78</v>
      </c>
      <c r="Q143" s="22" t="str">
        <f>BGPartner_AP</f>
        <v>Alimentatie Plichtig</v>
      </c>
      <c r="R143" s="68" t="str">
        <f>BGPartner_AG</f>
        <v>Alimentatie Gerechtigd</v>
      </c>
      <c r="S143" s="76" t="s">
        <v>132</v>
      </c>
      <c r="AF143" s="2267"/>
    </row>
    <row r="144" spans="1:32" ht="17.25" x14ac:dyDescent="0.25">
      <c r="A144" s="28">
        <v>71</v>
      </c>
      <c r="B144" s="1092" t="s">
        <v>429</v>
      </c>
      <c r="C144" s="1022">
        <v>3750</v>
      </c>
      <c r="D144" s="332" t="s">
        <v>107</v>
      </c>
      <c r="E144" s="301" t="s">
        <v>107</v>
      </c>
      <c r="F144" s="2735" t="s">
        <v>413</v>
      </c>
      <c r="G144" s="2736"/>
      <c r="H144" s="2736"/>
      <c r="I144" s="2736"/>
      <c r="J144" s="2737"/>
      <c r="M144" s="1060">
        <v>0</v>
      </c>
      <c r="N144" s="1482">
        <v>8603</v>
      </c>
      <c r="O144" s="1489">
        <v>149</v>
      </c>
      <c r="P144" s="1490"/>
      <c r="Q144" s="2483">
        <f>IF(OR(Q$142&gt;N144,Q$142&lt;0.01),0,O144)</f>
        <v>0</v>
      </c>
      <c r="R144" s="1509">
        <f>IF(OR(R$142&gt;N144,ROUND(R$142,0.01)&lt;0.01),0,O144)</f>
        <v>0</v>
      </c>
      <c r="S144" s="1001" t="str">
        <f>"€ "&amp;O144</f>
        <v>€ 149</v>
      </c>
      <c r="AF144" s="2267"/>
    </row>
    <row r="145" spans="1:32" ht="18" thickBot="1" x14ac:dyDescent="0.3">
      <c r="A145" s="30">
        <v>71</v>
      </c>
      <c r="B145" s="1093" t="s">
        <v>587</v>
      </c>
      <c r="C145" s="730">
        <v>2123</v>
      </c>
      <c r="D145" s="333" t="s">
        <v>107</v>
      </c>
      <c r="E145" s="309" t="s">
        <v>107</v>
      </c>
      <c r="F145" s="2805" t="s">
        <v>414</v>
      </c>
      <c r="G145" s="2806"/>
      <c r="H145" s="2806"/>
      <c r="I145" s="2806"/>
      <c r="J145" s="2807"/>
      <c r="M145" s="1061">
        <f>N144</f>
        <v>8603</v>
      </c>
      <c r="N145" s="1483">
        <v>45695</v>
      </c>
      <c r="O145" s="1491">
        <v>0</v>
      </c>
      <c r="P145" s="1492">
        <v>1.6500000000000001E-2</v>
      </c>
      <c r="Q145" s="2484">
        <f>IF(OR(Q$142&lt;=M145,Q$142&gt;N145),0,O145+(P145*Q$142))</f>
        <v>0</v>
      </c>
      <c r="R145" s="2481">
        <f>IF(OR(R$142&lt;=M145,R$142&gt;N145),0,O145+(P145*R$142))</f>
        <v>0</v>
      </c>
      <c r="S145" s="1002" t="str">
        <f>P145*100&amp;"% van het drempelinkomen"</f>
        <v>1,65% van het drempelinkomen</v>
      </c>
      <c r="AF145" s="2267"/>
    </row>
    <row r="146" spans="1:32" ht="18" thickBot="1" x14ac:dyDescent="0.3">
      <c r="C146" s="686"/>
      <c r="M146" s="1062">
        <f>N145</f>
        <v>45695</v>
      </c>
      <c r="N146" s="1484">
        <v>0</v>
      </c>
      <c r="O146" s="1484">
        <v>735</v>
      </c>
      <c r="P146" s="1493">
        <v>5.7500000000000002E-2</v>
      </c>
      <c r="Q146" s="2484">
        <f>IF(Q$142&gt;M146,O146+(P146*Q$142),0)</f>
        <v>0</v>
      </c>
      <c r="R146" s="2481">
        <f>IF(R$142&gt;M146,O146+(P146*R$142),0)</f>
        <v>0</v>
      </c>
      <c r="S146" s="1003" t="str">
        <f>"€ "&amp;O146&amp;" + "&amp;P146*100&amp;"% van het bedrag boven € "&amp;M146</f>
        <v>€ 735 + 5,75% van het bedrag boven € 45695</v>
      </c>
      <c r="AF146" s="2267"/>
    </row>
    <row r="147" spans="1:32" ht="15.75" thickBot="1" x14ac:dyDescent="0.3">
      <c r="A147" s="158"/>
      <c r="B147" s="104" t="s">
        <v>377</v>
      </c>
      <c r="C147" s="686"/>
      <c r="E147" s="300"/>
      <c r="M147" s="2706" t="s">
        <v>131</v>
      </c>
      <c r="N147" s="2707"/>
      <c r="O147" s="2707"/>
      <c r="P147" s="2708"/>
      <c r="Q147" s="2485">
        <f>SUM(Q144:Q146)</f>
        <v>0</v>
      </c>
      <c r="R147" s="2482">
        <f>SUM(R144:R146)</f>
        <v>0</v>
      </c>
      <c r="S147" s="26"/>
      <c r="AF147" s="2267"/>
    </row>
    <row r="148" spans="1:32" ht="15.75" thickBot="1" x14ac:dyDescent="0.3">
      <c r="A148" s="9" t="s">
        <v>240</v>
      </c>
      <c r="B148" s="287" t="s">
        <v>102</v>
      </c>
      <c r="C148" s="731" t="s">
        <v>337</v>
      </c>
      <c r="D148" s="27" t="str">
        <f>BGPartner_AP</f>
        <v>Alimentatie Plichtig</v>
      </c>
      <c r="E148" s="22" t="str">
        <f>BGPartner_AG</f>
        <v>Alimentatie Gerechtigd</v>
      </c>
      <c r="F148" s="2677" t="s">
        <v>339</v>
      </c>
      <c r="G148" s="2678"/>
      <c r="H148" s="2678"/>
      <c r="I148" s="2678"/>
      <c r="J148" s="2679"/>
      <c r="M148" s="2703" t="s">
        <v>201</v>
      </c>
      <c r="N148" s="2704"/>
      <c r="O148" s="2704"/>
      <c r="P148" s="2704"/>
      <c r="Q148" s="2704"/>
      <c r="R148" s="2704"/>
      <c r="S148" s="2705"/>
      <c r="AF148" s="2267"/>
    </row>
    <row r="149" spans="1:32" x14ac:dyDescent="0.25">
      <c r="A149" s="28"/>
      <c r="B149" s="1094" t="s">
        <v>374</v>
      </c>
      <c r="C149" s="1022">
        <v>15551</v>
      </c>
      <c r="D149" s="332" t="s">
        <v>107</v>
      </c>
      <c r="E149" s="301" t="s">
        <v>107</v>
      </c>
      <c r="F149" s="2735" t="s">
        <v>414</v>
      </c>
      <c r="G149" s="2736"/>
      <c r="H149" s="2736"/>
      <c r="I149" s="2736"/>
      <c r="J149" s="2737"/>
      <c r="AF149" s="2267"/>
    </row>
    <row r="150" spans="1:32" ht="15.75" thickBot="1" x14ac:dyDescent="0.3">
      <c r="A150" s="30"/>
      <c r="B150" s="1095" t="s">
        <v>375</v>
      </c>
      <c r="C150" s="730">
        <v>7781</v>
      </c>
      <c r="D150" s="333" t="s">
        <v>107</v>
      </c>
      <c r="E150" s="309" t="s">
        <v>107</v>
      </c>
      <c r="F150" s="2805" t="s">
        <v>413</v>
      </c>
      <c r="G150" s="2806"/>
      <c r="H150" s="2806"/>
      <c r="I150" s="2806"/>
      <c r="J150" s="2807"/>
      <c r="L150" s="2">
        <v>82</v>
      </c>
      <c r="M150" s="24" t="str">
        <f>"Tabel eigenwoningforfait "&amp; BGJaarBerekening</f>
        <v>Tabel eigenwoningforfait 2024</v>
      </c>
      <c r="N150" s="1032"/>
      <c r="O150" s="1055" t="s">
        <v>109</v>
      </c>
      <c r="P150" s="1032"/>
      <c r="Q150" s="1032"/>
      <c r="AF150" s="2267"/>
    </row>
    <row r="151" spans="1:32" ht="15.75" thickBot="1" x14ac:dyDescent="0.3">
      <c r="A151" s="349">
        <v>72</v>
      </c>
      <c r="B151" s="2890" t="s">
        <v>376</v>
      </c>
      <c r="C151" s="2891"/>
      <c r="D151" s="438">
        <f>IF(AND(D$149="Ja",D$150="Ja"),$C$149+$C$150,IF(AND(D$149="Ja",D$150="Nee"),$C$149,IF(AND(D$149="Nee",D$150="Ja"),$C$150,0)))</f>
        <v>0</v>
      </c>
      <c r="E151" s="438">
        <f>IF(AND(E$149="Ja",E$150="Ja"),$C$149+$C$150,IF(AND(E$149="Ja",E$150="Nee"),$C$149,IF(AND(E$149="Nee",E$150="Ja"),$C$150,0)))</f>
        <v>0</v>
      </c>
      <c r="M151" s="2950" t="s">
        <v>97</v>
      </c>
      <c r="N151" s="2936" t="s">
        <v>98</v>
      </c>
      <c r="O151" s="2948" t="s">
        <v>101</v>
      </c>
      <c r="P151" s="1032"/>
      <c r="Q151" s="1032"/>
      <c r="AF151" s="2267"/>
    </row>
    <row r="152" spans="1:32" ht="15.75" thickBot="1" x14ac:dyDescent="0.3">
      <c r="M152" s="2951"/>
      <c r="N152" s="2937"/>
      <c r="O152" s="2949"/>
      <c r="P152" s="1063" t="s">
        <v>100</v>
      </c>
      <c r="Q152" s="1064"/>
      <c r="AF152" s="2267"/>
    </row>
    <row r="153" spans="1:32" ht="15.75" thickBot="1" x14ac:dyDescent="0.3">
      <c r="A153" s="3">
        <v>73</v>
      </c>
      <c r="B153" s="306" t="s">
        <v>16</v>
      </c>
      <c r="C153" s="537" t="s">
        <v>1103</v>
      </c>
      <c r="M153" s="2463">
        <v>0</v>
      </c>
      <c r="N153" s="2464">
        <v>12500</v>
      </c>
      <c r="O153" s="1040">
        <v>0</v>
      </c>
      <c r="P153" s="2465">
        <v>0</v>
      </c>
      <c r="Q153" s="1064"/>
      <c r="AF153" s="2267"/>
    </row>
    <row r="154" spans="1:32" ht="15.75" thickBot="1" x14ac:dyDescent="0.3">
      <c r="A154" s="62" t="s">
        <v>240</v>
      </c>
      <c r="B154" s="307" t="s">
        <v>378</v>
      </c>
      <c r="C154" s="308" t="s">
        <v>384</v>
      </c>
      <c r="D154" s="27" t="str">
        <f>BGPartner_AP</f>
        <v>Alimentatie Plichtig</v>
      </c>
      <c r="E154" s="22" t="str">
        <f>BGPartner_AG</f>
        <v>Alimentatie Gerechtigd</v>
      </c>
      <c r="F154" s="2677" t="s">
        <v>339</v>
      </c>
      <c r="G154" s="2678"/>
      <c r="H154" s="2678"/>
      <c r="I154" s="2678"/>
      <c r="J154" s="2679"/>
      <c r="M154" s="1065">
        <f>N153</f>
        <v>12500</v>
      </c>
      <c r="N154" s="754">
        <v>25000</v>
      </c>
      <c r="O154" s="755">
        <v>1E-3</v>
      </c>
      <c r="P154" s="2466">
        <v>0</v>
      </c>
      <c r="Q154" s="1064"/>
      <c r="AF154" s="2267"/>
    </row>
    <row r="155" spans="1:32" x14ac:dyDescent="0.25">
      <c r="A155" s="64">
        <v>1</v>
      </c>
      <c r="B155" s="1096" t="s">
        <v>379</v>
      </c>
      <c r="C155" s="1486">
        <v>0</v>
      </c>
      <c r="D155" s="301" t="s">
        <v>107</v>
      </c>
      <c r="E155" s="301" t="s">
        <v>107</v>
      </c>
      <c r="F155" s="2876" t="s">
        <v>413</v>
      </c>
      <c r="G155" s="2877"/>
      <c r="H155" s="2877"/>
      <c r="I155" s="2877"/>
      <c r="J155" s="2878"/>
      <c r="M155" s="1065">
        <f>N154</f>
        <v>25000</v>
      </c>
      <c r="N155" s="754">
        <v>50000</v>
      </c>
      <c r="O155" s="755">
        <v>2E-3</v>
      </c>
      <c r="P155" s="2466">
        <v>0</v>
      </c>
      <c r="Q155" s="1064"/>
      <c r="AF155" s="2267"/>
    </row>
    <row r="156" spans="1:32" x14ac:dyDescent="0.25">
      <c r="A156" s="29">
        <v>2</v>
      </c>
      <c r="B156" s="1097" t="s">
        <v>380</v>
      </c>
      <c r="C156" s="1487">
        <v>1.2500000000000001E-2</v>
      </c>
      <c r="D156" s="97" t="s">
        <v>107</v>
      </c>
      <c r="E156" s="97" t="s">
        <v>107</v>
      </c>
      <c r="F156" s="2879"/>
      <c r="G156" s="2880"/>
      <c r="H156" s="2880"/>
      <c r="I156" s="2880"/>
      <c r="J156" s="2881"/>
      <c r="M156" s="1065">
        <f>N155</f>
        <v>50000</v>
      </c>
      <c r="N156" s="754">
        <v>75000</v>
      </c>
      <c r="O156" s="755">
        <v>2.5000000000000001E-3</v>
      </c>
      <c r="P156" s="2466">
        <v>0</v>
      </c>
      <c r="Q156" s="1064"/>
      <c r="AF156" s="2267"/>
    </row>
    <row r="157" spans="1:32" x14ac:dyDescent="0.25">
      <c r="A157" s="29">
        <v>3</v>
      </c>
      <c r="B157" s="1097" t="s">
        <v>381</v>
      </c>
      <c r="C157" s="1487">
        <v>0.02</v>
      </c>
      <c r="D157" s="97" t="s">
        <v>107</v>
      </c>
      <c r="E157" s="97" t="s">
        <v>107</v>
      </c>
      <c r="F157" s="2879"/>
      <c r="G157" s="2880"/>
      <c r="H157" s="2880"/>
      <c r="I157" s="2880"/>
      <c r="J157" s="2881"/>
      <c r="M157" s="1065">
        <f>N156</f>
        <v>75000</v>
      </c>
      <c r="N157" s="754">
        <v>1320000</v>
      </c>
      <c r="O157" s="755">
        <v>3.5000000000000001E-3</v>
      </c>
      <c r="P157" s="2466">
        <v>0</v>
      </c>
      <c r="Q157" s="1064"/>
      <c r="R157" s="2"/>
      <c r="AF157" s="2267"/>
    </row>
    <row r="158" spans="1:32" ht="15.75" thickBot="1" x14ac:dyDescent="0.3">
      <c r="A158" s="29">
        <v>4</v>
      </c>
      <c r="B158" s="1097" t="s">
        <v>382</v>
      </c>
      <c r="C158" s="1487">
        <v>0.03</v>
      </c>
      <c r="D158" s="97" t="s">
        <v>107</v>
      </c>
      <c r="E158" s="97" t="s">
        <v>107</v>
      </c>
      <c r="F158" s="2879"/>
      <c r="G158" s="2880"/>
      <c r="H158" s="2880"/>
      <c r="I158" s="2880"/>
      <c r="J158" s="2881"/>
      <c r="M158" s="1066">
        <f>N157</f>
        <v>1320000</v>
      </c>
      <c r="N158" s="756" t="s">
        <v>69</v>
      </c>
      <c r="O158" s="735">
        <v>2.35E-2</v>
      </c>
      <c r="P158" s="1067">
        <v>4620</v>
      </c>
      <c r="Q158" s="1064"/>
      <c r="R158" s="2"/>
      <c r="AF158" s="2267"/>
    </row>
    <row r="159" spans="1:32" ht="15.75" thickBot="1" x14ac:dyDescent="0.3">
      <c r="A159" s="31">
        <v>5</v>
      </c>
      <c r="B159" s="1098" t="s">
        <v>383</v>
      </c>
      <c r="C159" s="1488">
        <v>0.04</v>
      </c>
      <c r="D159" s="309" t="s">
        <v>107</v>
      </c>
      <c r="E159" s="309" t="s">
        <v>107</v>
      </c>
      <c r="F159" s="2882"/>
      <c r="G159" s="2883"/>
      <c r="H159" s="2883"/>
      <c r="I159" s="2883"/>
      <c r="J159" s="2884"/>
      <c r="AF159" s="2267"/>
    </row>
    <row r="160" spans="1:32" ht="15.75" thickBot="1" x14ac:dyDescent="0.3">
      <c r="A160" s="161"/>
      <c r="B160" s="2897" t="s">
        <v>385</v>
      </c>
      <c r="C160" s="2898"/>
      <c r="D160" s="315">
        <f>IF(D159="Ja",$C159,IF(D158="Ja",$C158,IF(D157="Ja",$C157,IF(D156="Ja",$C156,IF(D155="Ja",$C155,0)))))</f>
        <v>0</v>
      </c>
      <c r="E160" s="315">
        <f>IF(E159="Ja",$C159,IF(E158="Ja",$C158,IF(E157="Ja",$C157,IF(E156="Ja",$C156,IF(E155="Ja",$C155,0)))))</f>
        <v>0</v>
      </c>
      <c r="AF160" s="2267"/>
    </row>
    <row r="161" spans="1:32" x14ac:dyDescent="0.25">
      <c r="AF161" s="2267"/>
    </row>
    <row r="162" spans="1:32" ht="15.75" thickBot="1" x14ac:dyDescent="0.3">
      <c r="B162" s="306" t="s">
        <v>675</v>
      </c>
      <c r="C162" s="2"/>
      <c r="AF162" s="2267"/>
    </row>
    <row r="163" spans="1:32" ht="15.75" thickBot="1" x14ac:dyDescent="0.3">
      <c r="A163" s="161">
        <v>74</v>
      </c>
      <c r="B163" s="1134" t="s">
        <v>360</v>
      </c>
      <c r="C163" s="1135">
        <v>0.1331</v>
      </c>
      <c r="L163" s="426" t="s">
        <v>900</v>
      </c>
      <c r="AF163" s="2267"/>
    </row>
    <row r="164" spans="1:32" ht="15.75" thickBot="1" x14ac:dyDescent="0.3">
      <c r="L164" s="5" t="s">
        <v>8</v>
      </c>
      <c r="M164" s="1162" t="s">
        <v>71</v>
      </c>
      <c r="N164" s="1137"/>
      <c r="O164" s="1138"/>
      <c r="AF164" s="2267"/>
    </row>
    <row r="165" spans="1:32" ht="15.75" customHeight="1" thickBot="1" x14ac:dyDescent="0.3">
      <c r="B165" s="2894" t="s">
        <v>893</v>
      </c>
      <c r="C165" s="2895"/>
      <c r="D165" s="2896"/>
      <c r="E165" s="1706" t="s">
        <v>107</v>
      </c>
      <c r="L165" s="64"/>
      <c r="M165" s="1140" t="s">
        <v>681</v>
      </c>
      <c r="N165" s="1140"/>
      <c r="O165" s="1152"/>
      <c r="P165" s="2537" t="s">
        <v>1118</v>
      </c>
      <c r="Q165" s="23" t="s">
        <v>801</v>
      </c>
      <c r="AF165" s="2267"/>
    </row>
    <row r="166" spans="1:32" ht="15.75" thickBot="1" x14ac:dyDescent="0.3">
      <c r="B166" s="942"/>
      <c r="C166" s="942"/>
      <c r="L166" s="29"/>
      <c r="M166" s="1139" t="s">
        <v>707</v>
      </c>
      <c r="N166" s="1139"/>
      <c r="O166" s="376"/>
      <c r="P166" s="97" t="s">
        <v>107</v>
      </c>
      <c r="Q166" s="23" t="s">
        <v>801</v>
      </c>
      <c r="AF166" s="2267"/>
    </row>
    <row r="167" spans="1:32" ht="15.75" customHeight="1" thickBot="1" x14ac:dyDescent="0.3">
      <c r="E167" s="1161" t="str">
        <f>IF(BGOEWRekenModule="Nee","--",IF($P$165=$P$181,"Verlater","Blijver"))</f>
        <v>--</v>
      </c>
      <c r="F167" s="1161" t="str">
        <f>IF(BGOEWRekenModule="Nee","--",IF($P$165=$Q$181,"Verlater","Blijver"))</f>
        <v>--</v>
      </c>
      <c r="L167" s="29">
        <v>82</v>
      </c>
      <c r="M167" s="1139" t="s">
        <v>686</v>
      </c>
      <c r="N167" s="1139"/>
      <c r="O167" s="376"/>
      <c r="P167" s="1261">
        <f>C172</f>
        <v>0</v>
      </c>
      <c r="Q167" s="2"/>
      <c r="AF167" s="2267"/>
    </row>
    <row r="168" spans="1:32" ht="15" customHeight="1" thickBot="1" x14ac:dyDescent="0.3">
      <c r="E168" s="2681" t="s">
        <v>173</v>
      </c>
      <c r="F168" s="2668"/>
      <c r="H168" s="52"/>
      <c r="I168" s="52"/>
      <c r="J168" s="52"/>
      <c r="L168" s="29">
        <v>82</v>
      </c>
      <c r="M168" s="1139" t="s">
        <v>705</v>
      </c>
      <c r="N168" s="1139"/>
      <c r="O168" s="376"/>
      <c r="P168" s="1261">
        <f>D172</f>
        <v>0</v>
      </c>
      <c r="Q168" s="19" t="s">
        <v>685</v>
      </c>
      <c r="AF168" s="2267"/>
    </row>
    <row r="169" spans="1:32" ht="16.5" customHeight="1" x14ac:dyDescent="0.25">
      <c r="E169" s="2958" t="str">
        <f>BGPartner_AP</f>
        <v>Alimentatie Plichtig</v>
      </c>
      <c r="F169" s="2828" t="str">
        <f>BGPartner_AG</f>
        <v>Alimentatie Gerechtigd</v>
      </c>
      <c r="H169" s="52"/>
      <c r="I169" s="52"/>
      <c r="J169" s="52"/>
      <c r="L169" s="29">
        <v>83</v>
      </c>
      <c r="M169" s="1139" t="s">
        <v>684</v>
      </c>
      <c r="N169" s="1139"/>
      <c r="O169" s="376"/>
      <c r="P169" s="863">
        <f>C174*12</f>
        <v>0</v>
      </c>
      <c r="Q169" s="19" t="s">
        <v>685</v>
      </c>
      <c r="AF169" s="2267"/>
    </row>
    <row r="170" spans="1:32" ht="16.5" thickBot="1" x14ac:dyDescent="0.3">
      <c r="B170" s="661" t="str">
        <f>IF(BGOEWRekenModule="Ja","Onverdeeld Eigen Woning (OEW)","Eigen woningbezit "&amp;BGPartner_AP&amp;" (indien van toepassing)")</f>
        <v>Eigen woningbezit Alimentatie Plichtig (indien van toepassing)</v>
      </c>
      <c r="E170" s="2959"/>
      <c r="F170" s="2829"/>
      <c r="H170" s="52"/>
      <c r="I170" s="52"/>
      <c r="J170" s="52"/>
      <c r="L170" s="29">
        <v>83</v>
      </c>
      <c r="M170" s="1139" t="s">
        <v>683</v>
      </c>
      <c r="N170" s="1139"/>
      <c r="O170" s="376"/>
      <c r="P170" s="97" t="s">
        <v>704</v>
      </c>
      <c r="Q170" s="23" t="s">
        <v>801</v>
      </c>
      <c r="AF170" s="2267"/>
    </row>
    <row r="171" spans="1:32" ht="15.75" thickBot="1" x14ac:dyDescent="0.3">
      <c r="A171" s="9" t="s">
        <v>240</v>
      </c>
      <c r="B171" s="162" t="s">
        <v>102</v>
      </c>
      <c r="C171" s="9" t="s">
        <v>96</v>
      </c>
      <c r="D171" s="55" t="s">
        <v>99</v>
      </c>
      <c r="E171" s="2960"/>
      <c r="F171" s="2830"/>
      <c r="G171" s="2743" t="s">
        <v>995</v>
      </c>
      <c r="H171" s="2744"/>
      <c r="I171" s="2744"/>
      <c r="J171" s="2745"/>
      <c r="L171" s="29">
        <v>138</v>
      </c>
      <c r="M171" s="1139" t="str">
        <f>"Wie betaald de aflossing a € "&amp;C173</f>
        <v>Wie betaald de aflossing a € 0</v>
      </c>
      <c r="N171" s="1139"/>
      <c r="O171" s="376"/>
      <c r="P171" s="97" t="s">
        <v>704</v>
      </c>
      <c r="Q171" s="23" t="s">
        <v>801</v>
      </c>
      <c r="AF171" s="2267"/>
    </row>
    <row r="172" spans="1:32" ht="16.5" customHeight="1" thickBot="1" x14ac:dyDescent="0.3">
      <c r="A172" s="67">
        <v>82</v>
      </c>
      <c r="B172" s="109" t="s">
        <v>103</v>
      </c>
      <c r="C172" s="35">
        <v>0</v>
      </c>
      <c r="D172" s="644">
        <f>IF($C$172&gt;M158,P158+(O158*$C$172),IF(AND($C$172&gt;M157,$C$172&lt;=N157),O157*$C$172,IF(AND($C$172&gt;M156,$C$172&lt;=N156),O156*$C$172,IF(AND($C$172&gt;M155,$C$172&lt;=N155),O155*$C$172,IF(AND($C$172&gt;M154,$C$172&lt;=N154),O154*$C$172,IF(AND($C$172&gt;M153,$C$172&lt;=N153),O153*$C$172,0))))))</f>
        <v>0</v>
      </c>
      <c r="E172" s="858">
        <f>IF(BGOEWRekenModule="Ja","Zie OEW",D172-F172)</f>
        <v>0</v>
      </c>
      <c r="F172" s="1160">
        <v>0</v>
      </c>
      <c r="G172" s="2790"/>
      <c r="H172" s="2926"/>
      <c r="I172" s="2926"/>
      <c r="J172" s="2927"/>
      <c r="L172" s="29">
        <v>84</v>
      </c>
      <c r="M172" s="1139" t="str">
        <f>"Wie betaald periode betaling erfpacht a € "&amp;D177&amp;",- ?"</f>
        <v>Wie betaald periode betaling erfpacht a € 0,- ?</v>
      </c>
      <c r="N172" s="1139"/>
      <c r="O172" s="376"/>
      <c r="P172" s="97" t="s">
        <v>704</v>
      </c>
      <c r="Q172" s="23" t="s">
        <v>801</v>
      </c>
      <c r="AF172" s="2267"/>
    </row>
    <row r="173" spans="1:32" ht="15.75" thickBot="1" x14ac:dyDescent="0.3">
      <c r="A173" s="66">
        <v>123</v>
      </c>
      <c r="B173" s="146" t="s">
        <v>721</v>
      </c>
      <c r="C173" s="36">
        <v>0</v>
      </c>
      <c r="D173" s="27" t="s">
        <v>145</v>
      </c>
      <c r="E173" s="322">
        <f>IF(BGOEWRekenModule="Ja","Zie OEW",C173-F173)</f>
        <v>0</v>
      </c>
      <c r="F173" s="1315">
        <v>0</v>
      </c>
      <c r="G173" s="2790"/>
      <c r="H173" s="2926"/>
      <c r="I173" s="2926"/>
      <c r="J173" s="2927"/>
      <c r="L173" s="29"/>
      <c r="M173" s="1139" t="str">
        <f>"Wie betaald de fofaitaire eigenaarslasten a € "&amp;E236&amp;",- ?"</f>
        <v>Wie betaald de fofaitaire eigenaarslasten a € 95,- ?</v>
      </c>
      <c r="N173" s="1139"/>
      <c r="O173" s="376"/>
      <c r="P173" s="97" t="s">
        <v>704</v>
      </c>
      <c r="Q173" s="23" t="s">
        <v>801</v>
      </c>
      <c r="AF173" s="2267"/>
    </row>
    <row r="174" spans="1:32" ht="15.75" thickBot="1" x14ac:dyDescent="0.3">
      <c r="A174" s="66">
        <v>83</v>
      </c>
      <c r="B174" s="146" t="s">
        <v>726</v>
      </c>
      <c r="C174" s="36">
        <v>0</v>
      </c>
      <c r="D174" s="960">
        <f>C173+C174</f>
        <v>0</v>
      </c>
      <c r="E174" s="1318">
        <f>IF(BGOEWRekenModule="Ja","Zie OEW",C174-F174)</f>
        <v>0</v>
      </c>
      <c r="F174" s="1160">
        <v>0</v>
      </c>
      <c r="G174" s="2790"/>
      <c r="H174" s="2926"/>
      <c r="I174" s="2926"/>
      <c r="J174" s="2927"/>
      <c r="L174" s="29"/>
      <c r="M174" s="1139" t="s">
        <v>687</v>
      </c>
      <c r="N174" s="1139"/>
      <c r="O174" s="376"/>
      <c r="P174" s="36">
        <v>0</v>
      </c>
      <c r="AF174" s="2267"/>
    </row>
    <row r="175" spans="1:32" ht="15" customHeight="1" thickBot="1" x14ac:dyDescent="0.3">
      <c r="A175" s="166">
        <v>83</v>
      </c>
      <c r="B175" s="110" t="s">
        <v>1074</v>
      </c>
      <c r="C175" s="39">
        <v>0</v>
      </c>
      <c r="D175" s="345"/>
      <c r="E175" s="646">
        <f>C175-F175</f>
        <v>0</v>
      </c>
      <c r="F175" s="1320">
        <v>0</v>
      </c>
      <c r="G175" s="2790"/>
      <c r="H175" s="2926"/>
      <c r="I175" s="2926"/>
      <c r="J175" s="2927"/>
      <c r="L175" s="31"/>
      <c r="M175" s="1141" t="s">
        <v>688</v>
      </c>
      <c r="N175" s="1141"/>
      <c r="O175" s="1153"/>
      <c r="P175" s="992" t="s">
        <v>57</v>
      </c>
      <c r="Q175" s="23" t="s">
        <v>801</v>
      </c>
      <c r="AF175" s="2267"/>
    </row>
    <row r="176" spans="1:32" ht="15.75" thickBot="1" x14ac:dyDescent="0.3">
      <c r="A176" s="161">
        <v>83</v>
      </c>
      <c r="B176" s="2892" t="s">
        <v>800</v>
      </c>
      <c r="C176" s="2893"/>
      <c r="D176" s="1312">
        <f>IF(BG083HypRenteWoning1="Zie OEW",C175,(C174*12)+C175)</f>
        <v>0</v>
      </c>
      <c r="E176" s="1313">
        <f>D176-F176</f>
        <v>0</v>
      </c>
      <c r="F176" s="1316">
        <f>(F174*12)+F175</f>
        <v>0</v>
      </c>
      <c r="G176" s="2790"/>
      <c r="H176" s="2926"/>
      <c r="I176" s="2926"/>
      <c r="J176" s="2927"/>
      <c r="M176" s="1154" t="s">
        <v>706</v>
      </c>
      <c r="N176" s="1155"/>
      <c r="O176" s="1155"/>
      <c r="P176" s="93" t="str">
        <f>IF(OR(BGOEWVerlater="",BGOEW24MndTermijn="",BGOEWRenteBetaler="",BGOEWTotSchuld="",BGOEWDraagkracht=""),"Onbekend",IF(BGOEWRenteBetaler="Beiden 50%","Situatie 3",IF(BGOEWVerlater=BGOEWRenteBetaler,IF(BGOEWDraagkracht="Draagkracht","Situatie 1","Situatie 2"),IF(BGOEWVerlater&lt;&gt;BGOEWRenteBetaler,IF(BGOEWDraagkracht="Draagkracht","Situatie 4","Situatie 5")))))</f>
        <v>Situatie 3</v>
      </c>
      <c r="AF176" s="2267"/>
    </row>
    <row r="177" spans="1:32" ht="15.75" customHeight="1" thickBot="1" x14ac:dyDescent="0.3">
      <c r="A177" s="161">
        <v>84</v>
      </c>
      <c r="B177" s="163" t="s">
        <v>722</v>
      </c>
      <c r="C177" s="53">
        <v>0</v>
      </c>
      <c r="D177" s="961">
        <f>C177*12</f>
        <v>0</v>
      </c>
      <c r="E177" s="1695">
        <f>IF(BGOEWRekenModule="Ja","Zie OEW",C177-F177)</f>
        <v>0</v>
      </c>
      <c r="F177" s="1321">
        <v>0</v>
      </c>
      <c r="G177" s="2746"/>
      <c r="H177" s="2747"/>
      <c r="I177" s="2747"/>
      <c r="J177" s="2748"/>
      <c r="AF177" s="2267"/>
    </row>
    <row r="178" spans="1:32" ht="15.75" thickBot="1" x14ac:dyDescent="0.3">
      <c r="E178" s="344"/>
      <c r="T178" s="1513" t="str">
        <f>"Te gebruiken OEW-situatie: "&amp;BGOEWSituatie1_5</f>
        <v>Te gebruiken OEW-situatie: Situatie 3</v>
      </c>
      <c r="U178" s="1514"/>
      <c r="V178" s="1531" t="s">
        <v>700</v>
      </c>
      <c r="W178" s="1514"/>
      <c r="X178" s="1531" t="s">
        <v>701</v>
      </c>
      <c r="Y178" s="1531"/>
      <c r="Z178" s="1513" t="s">
        <v>702</v>
      </c>
      <c r="AA178" s="1532"/>
      <c r="AB178" s="1531" t="s">
        <v>703</v>
      </c>
      <c r="AC178" s="1532"/>
      <c r="AD178" s="1513" t="s">
        <v>994</v>
      </c>
      <c r="AE178" s="1532"/>
      <c r="AF178" s="2267"/>
    </row>
    <row r="179" spans="1:32" ht="15.75" thickBot="1" x14ac:dyDescent="0.3">
      <c r="B179" s="104" t="s">
        <v>796</v>
      </c>
      <c r="P179" s="1202" t="str">
        <f>IF(BGOEWRekenModule="Nee","--",IF($P$165=$P$181,"Verlater","Blijver"))</f>
        <v>--</v>
      </c>
      <c r="Q179" s="1161" t="str">
        <f>IF(BGOEWRekenModule="Nee","--",IF($P$165=$Q$181,"Verlater","Blijver"))</f>
        <v>--</v>
      </c>
      <c r="T179" s="1157" t="str">
        <f ca="1">IF(BGOEWSituatie1_5="Onbekend","--",OFFSET(T179,,2+MATCH(BGOEWSituatie1_5,V$178:AE$178,0)-1))</f>
        <v>Ieder betaald de helft van de rente</v>
      </c>
      <c r="U179" s="1527"/>
      <c r="V179" s="1528" t="s">
        <v>697</v>
      </c>
      <c r="W179" s="1527"/>
      <c r="X179" s="1528" t="s">
        <v>697</v>
      </c>
      <c r="Y179" s="1528"/>
      <c r="Z179" s="1529" t="s">
        <v>698</v>
      </c>
      <c r="AA179" s="1530"/>
      <c r="AB179" s="1528" t="s">
        <v>699</v>
      </c>
      <c r="AC179" s="1530"/>
      <c r="AD179" s="2266" t="s">
        <v>699</v>
      </c>
      <c r="AE179" s="1530"/>
      <c r="AF179" s="2267"/>
    </row>
    <row r="180" spans="1:32" ht="15.75" thickBot="1" x14ac:dyDescent="0.3">
      <c r="B180" s="1456" t="str">
        <f>"Afbouw % bij geen/kleine eigenwoningschuld in "&amp;BGJaarBerekening</f>
        <v>Afbouw % bij geen/kleine eigenwoningschuld in 2024</v>
      </c>
      <c r="C180" s="1485">
        <v>0.80010000000000003</v>
      </c>
      <c r="M180" s="1189"/>
      <c r="N180" s="1190"/>
      <c r="O180" s="1188" t="s">
        <v>727</v>
      </c>
      <c r="P180" s="1203">
        <f>AL41_50BrutoInkomen_AP+AL60Arbeidsinkomen_AP</f>
        <v>0</v>
      </c>
      <c r="Q180" s="1208">
        <f>AL41_50BrutoInkomen_AG+AL60Arbeidsinkomen_AG</f>
        <v>0</v>
      </c>
      <c r="R180" s="942" t="s">
        <v>1015</v>
      </c>
      <c r="T180" s="1157" t="str">
        <f ca="1">IF(BGOEWSituatie1_5="Onbekend","--",OFFSET(T180,,2+MATCH(BGOEWSituatie1_5,V$178:AE$178,0)-1))</f>
        <v>Draagkracht of draagkrachtloos inkomen</v>
      </c>
      <c r="U180" s="1146"/>
      <c r="V180" s="1217" t="s">
        <v>57</v>
      </c>
      <c r="W180" s="1146"/>
      <c r="X180" s="1145" t="s">
        <v>303</v>
      </c>
      <c r="Y180" s="1145"/>
      <c r="Z180" s="1143" t="s">
        <v>696</v>
      </c>
      <c r="AA180" s="1144"/>
      <c r="AB180" s="1145" t="s">
        <v>57</v>
      </c>
      <c r="AC180" s="1144"/>
      <c r="AD180" s="1143" t="s">
        <v>303</v>
      </c>
      <c r="AE180" s="1144"/>
      <c r="AF180" s="2267"/>
    </row>
    <row r="181" spans="1:32" ht="15" customHeight="1" thickBot="1" x14ac:dyDescent="0.3">
      <c r="E181" s="2681" t="s">
        <v>173</v>
      </c>
      <c r="F181" s="2668"/>
      <c r="I181" s="21"/>
      <c r="L181" s="62" t="s">
        <v>8</v>
      </c>
      <c r="M181" s="1194" t="s">
        <v>71</v>
      </c>
      <c r="N181" s="1195"/>
      <c r="O181" s="1195"/>
      <c r="P181" s="1201" t="str">
        <f>BGPartner_AP</f>
        <v>Alimentatie Plichtig</v>
      </c>
      <c r="Q181" s="1142" t="str">
        <f>BGPartner_AG</f>
        <v>Alimentatie Gerechtigd</v>
      </c>
      <c r="R181" s="1250" t="s">
        <v>708</v>
      </c>
      <c r="S181" s="1213" t="s">
        <v>71</v>
      </c>
      <c r="T181" s="62" t="s">
        <v>694</v>
      </c>
      <c r="U181" s="1604" t="s">
        <v>695</v>
      </c>
      <c r="V181" s="1605" t="s">
        <v>694</v>
      </c>
      <c r="W181" s="1604" t="s">
        <v>695</v>
      </c>
      <c r="X181" s="1605" t="s">
        <v>694</v>
      </c>
      <c r="Y181" s="63" t="s">
        <v>695</v>
      </c>
      <c r="Z181" s="62" t="s">
        <v>694</v>
      </c>
      <c r="AA181" s="1604" t="s">
        <v>695</v>
      </c>
      <c r="AB181" s="1605" t="s">
        <v>694</v>
      </c>
      <c r="AC181" s="1604" t="s">
        <v>695</v>
      </c>
      <c r="AD181" s="5" t="s">
        <v>694</v>
      </c>
      <c r="AE181" s="115" t="s">
        <v>695</v>
      </c>
      <c r="AF181" s="2267"/>
    </row>
    <row r="182" spans="1:32" x14ac:dyDescent="0.25">
      <c r="E182" s="2828" t="str">
        <f>BGPartner_AG</f>
        <v>Alimentatie Gerechtigd</v>
      </c>
      <c r="F182" s="2828" t="str">
        <f>BGPartner_AP</f>
        <v>Alimentatie Plichtig</v>
      </c>
      <c r="L182" s="615">
        <v>81</v>
      </c>
      <c r="M182" s="1186" t="s">
        <v>714</v>
      </c>
      <c r="N182" s="1140"/>
      <c r="O182" s="1140"/>
      <c r="P182" s="1204">
        <f t="shared" ref="P182:Q186" ca="1" si="30">IF(P$179=$T$181,$T182*BGOEWEWF,$U182*BGOEWEWF)</f>
        <v>0</v>
      </c>
      <c r="Q182" s="1209">
        <f t="shared" ca="1" si="30"/>
        <v>0</v>
      </c>
      <c r="R182" s="1251" t="s">
        <v>710</v>
      </c>
      <c r="S182" s="1247" t="str">
        <f t="shared" ref="S182:S193" si="31">M182</f>
        <v>Eigen Woning Forfait ontvangen als partneralimentatie</v>
      </c>
      <c r="T182" s="1223">
        <f ca="1">IF(OR(BGOEWRekenModule="Nee",BGOEWSituatie1_5="Onbekend"),0,OFFSET(T182,,2+MATCH(BGOEWSituatie1_5,V178:AE178,0)-1))</f>
        <v>0</v>
      </c>
      <c r="U182" s="1224">
        <f t="shared" ref="U182:U193" ca="1" si="32">IF(OR(BGOEWRekenModule="Nee",BGOEWSituatie1_5="Onbekend"),0,OFFSET(U182,,2+MATCH(BGOEWSituatie1_5,V$178:AE$178,0)-1))</f>
        <v>0</v>
      </c>
      <c r="V182" s="2195">
        <v>0</v>
      </c>
      <c r="W182" s="1533">
        <v>0.5</v>
      </c>
      <c r="X182" s="1218">
        <v>0</v>
      </c>
      <c r="Y182" s="2198">
        <v>0.5</v>
      </c>
      <c r="Z182" s="2195">
        <v>0</v>
      </c>
      <c r="AA182" s="1533">
        <v>0.5</v>
      </c>
      <c r="AB182" s="1218">
        <v>0</v>
      </c>
      <c r="AC182" s="1533">
        <v>0.5</v>
      </c>
      <c r="AD182" s="1218">
        <v>0</v>
      </c>
      <c r="AE182" s="1533">
        <v>0.5</v>
      </c>
      <c r="AF182" s="2267"/>
    </row>
    <row r="183" spans="1:32" ht="16.5" thickBot="1" x14ac:dyDescent="0.3">
      <c r="B183" s="661" t="str">
        <f>CONCATENATE("Eigen woningbezit ",D4," (indien van toepassing)")</f>
        <v>Eigen woningbezit Alimentatie Gerechtigd (indien van toepassing)</v>
      </c>
      <c r="E183" s="2829"/>
      <c r="F183" s="2829"/>
      <c r="L183" s="273" t="s">
        <v>691</v>
      </c>
      <c r="M183" s="1187" t="s">
        <v>715</v>
      </c>
      <c r="N183" s="1139"/>
      <c r="O183" s="1139"/>
      <c r="P183" s="1205">
        <f t="shared" ca="1" si="30"/>
        <v>0</v>
      </c>
      <c r="Q183" s="1210">
        <f t="shared" ca="1" si="30"/>
        <v>0</v>
      </c>
      <c r="R183" s="1252" t="s">
        <v>710</v>
      </c>
      <c r="S183" s="1248" t="str">
        <f t="shared" si="31"/>
        <v>Eigen Woning Forfait van de Onverdeeld Eigen Woning</v>
      </c>
      <c r="T183" s="1225">
        <f t="shared" ref="T183:T193" ca="1" si="33">IF(OR(BGOEWRekenModule="Nee",BGOEWSituatie1_5="Onbekend"),0,OFFSET(T183,,2+MATCH(BGOEWSituatie1_5,V$178:AE$178,0)-1))</f>
        <v>0</v>
      </c>
      <c r="U183" s="1226">
        <f t="shared" ca="1" si="32"/>
        <v>0</v>
      </c>
      <c r="V183" s="1225">
        <f>IF(BGOEW24MndTermijn="Nee",0.5,0)</f>
        <v>0.5</v>
      </c>
      <c r="W183" s="1534">
        <v>0.5</v>
      </c>
      <c r="X183" s="1219">
        <f>IF(BGOEW24MndTermijn="Nee",0.5,0)</f>
        <v>0.5</v>
      </c>
      <c r="Y183" s="2199">
        <v>0.5</v>
      </c>
      <c r="Z183" s="1225">
        <f>IF(BGOEW24MndTermijn="Nee",0.5,0)</f>
        <v>0.5</v>
      </c>
      <c r="AA183" s="1534">
        <v>0.5</v>
      </c>
      <c r="AB183" s="1219">
        <f>IF(BGOEW24MndTermijn="Nee",0.5,0)</f>
        <v>0.5</v>
      </c>
      <c r="AC183" s="1534">
        <v>0.5</v>
      </c>
      <c r="AD183" s="1219">
        <f>IF(BGOEW24MndTermijn="Nee",0.5,0)</f>
        <v>0.5</v>
      </c>
      <c r="AE183" s="1534">
        <v>0.5</v>
      </c>
      <c r="AF183" s="2267"/>
    </row>
    <row r="184" spans="1:32" ht="15" customHeight="1" thickBot="1" x14ac:dyDescent="0.3">
      <c r="A184" s="9" t="s">
        <v>240</v>
      </c>
      <c r="B184" s="162" t="s">
        <v>102</v>
      </c>
      <c r="C184" s="9" t="s">
        <v>96</v>
      </c>
      <c r="D184" s="55" t="s">
        <v>99</v>
      </c>
      <c r="E184" s="2830"/>
      <c r="F184" s="2830"/>
      <c r="L184" s="273" t="s">
        <v>676</v>
      </c>
      <c r="M184" s="1187" t="s">
        <v>716</v>
      </c>
      <c r="N184" s="1139"/>
      <c r="O184" s="1139"/>
      <c r="P184" s="1205">
        <f t="shared" ca="1" si="30"/>
        <v>0</v>
      </c>
      <c r="Q184" s="1210">
        <f t="shared" ca="1" si="30"/>
        <v>0</v>
      </c>
      <c r="R184" s="1253" t="s">
        <v>712</v>
      </c>
      <c r="S184" s="1248" t="str">
        <f t="shared" si="31"/>
        <v>Eigen Woning Forfait betaald als partneralimentatie</v>
      </c>
      <c r="T184" s="1225">
        <f t="shared" ca="1" si="33"/>
        <v>0</v>
      </c>
      <c r="U184" s="1226">
        <f t="shared" ca="1" si="32"/>
        <v>0</v>
      </c>
      <c r="V184" s="2196">
        <v>0.5</v>
      </c>
      <c r="W184" s="1534">
        <v>0</v>
      </c>
      <c r="X184" s="1220">
        <v>0.5</v>
      </c>
      <c r="Y184" s="2199">
        <v>0</v>
      </c>
      <c r="Z184" s="2196">
        <v>0.5</v>
      </c>
      <c r="AA184" s="1534">
        <v>0</v>
      </c>
      <c r="AB184" s="1220">
        <v>0.5</v>
      </c>
      <c r="AC184" s="1534">
        <v>0</v>
      </c>
      <c r="AD184" s="1220">
        <v>0.5</v>
      </c>
      <c r="AE184" s="1534">
        <v>0</v>
      </c>
      <c r="AF184" s="2267"/>
    </row>
    <row r="185" spans="1:32" ht="15.75" thickBot="1" x14ac:dyDescent="0.3">
      <c r="A185" s="67">
        <v>82</v>
      </c>
      <c r="B185" s="109" t="s">
        <v>103</v>
      </c>
      <c r="C185" s="35">
        <v>0</v>
      </c>
      <c r="D185" s="644">
        <f>IF($C$185&gt;M158,P158+(O158*$C$185),IF(AND($C$185&gt;M157,$C$185&lt;=N157),O157*$C$185,IF(AND($C$185&gt;M156,$C$185&lt;=N156),O156*$C$185,IF(AND($C$185&gt;M155,$C$185&lt;=N155),O155*$C$185,IF(AND($C$185&gt;M154,$C$185&lt;=N154),O154*$C$185,IF(AND($C$185&gt;M153,$C$185&lt;=N153),O153*$C$185,0))))))</f>
        <v>0</v>
      </c>
      <c r="E185" s="645">
        <f>D185-F185</f>
        <v>0</v>
      </c>
      <c r="F185" s="78">
        <v>0</v>
      </c>
      <c r="L185" s="273">
        <v>104</v>
      </c>
      <c r="M185" s="1187" t="s">
        <v>1016</v>
      </c>
      <c r="N185" s="1139"/>
      <c r="O185" s="1139"/>
      <c r="P185" s="1205">
        <f t="shared" ca="1" si="30"/>
        <v>0</v>
      </c>
      <c r="Q185" s="1210">
        <f t="shared" ca="1" si="30"/>
        <v>0</v>
      </c>
      <c r="R185" s="1252" t="s">
        <v>710</v>
      </c>
      <c r="S185" s="1248" t="str">
        <f t="shared" si="31"/>
        <v>Eigen Woning Forfait aandeel in  box 3</v>
      </c>
      <c r="T185" s="1225">
        <f t="shared" ca="1" si="33"/>
        <v>0</v>
      </c>
      <c r="U185" s="1226">
        <f t="shared" ca="1" si="32"/>
        <v>0</v>
      </c>
      <c r="V185" s="1225">
        <f>IF(BGOEW24MndTermijn="Nee",0,0.5)</f>
        <v>0</v>
      </c>
      <c r="W185" s="1534">
        <v>0</v>
      </c>
      <c r="X185" s="1219">
        <f>IF(BGOEW24MndTermijn="Nee",0,0.5)</f>
        <v>0</v>
      </c>
      <c r="Y185" s="2199">
        <v>0</v>
      </c>
      <c r="Z185" s="1225">
        <f>IF(BGOEW24MndTermijn="Nee",0,0.5)</f>
        <v>0</v>
      </c>
      <c r="AA185" s="1534">
        <v>0</v>
      </c>
      <c r="AB185" s="1219">
        <f>IF(BGOEW24MndTermijn="Nee",0,0.5)</f>
        <v>0</v>
      </c>
      <c r="AC185" s="1534">
        <v>0</v>
      </c>
      <c r="AD185" s="1219">
        <f>IF(BGOEW24MndTermijn="Nee",0,0.5)</f>
        <v>0</v>
      </c>
      <c r="AE185" s="1534">
        <v>0</v>
      </c>
      <c r="AF185" s="2267"/>
    </row>
    <row r="186" spans="1:32" ht="15.75" thickBot="1" x14ac:dyDescent="0.3">
      <c r="A186" s="66"/>
      <c r="B186" s="146" t="s">
        <v>721</v>
      </c>
      <c r="C186" s="36">
        <v>0</v>
      </c>
      <c r="D186" s="27" t="s">
        <v>145</v>
      </c>
      <c r="E186" s="1317">
        <f>C186-F186</f>
        <v>0</v>
      </c>
      <c r="F186" s="270">
        <v>0</v>
      </c>
      <c r="L186" s="1183" t="s">
        <v>693</v>
      </c>
      <c r="M186" s="425" t="s">
        <v>724</v>
      </c>
      <c r="N186" s="1141"/>
      <c r="O186" s="1141"/>
      <c r="P186" s="1206">
        <f t="shared" ca="1" si="30"/>
        <v>0</v>
      </c>
      <c r="Q186" s="1211">
        <f t="shared" ca="1" si="30"/>
        <v>0</v>
      </c>
      <c r="R186" s="1254" t="s">
        <v>710</v>
      </c>
      <c r="S186" s="1249" t="str">
        <f t="shared" si="31"/>
        <v>Eigen Woning Forfait bijdrage ZVW over EWF berekenen over</v>
      </c>
      <c r="T186" s="1227">
        <f t="shared" ca="1" si="33"/>
        <v>0</v>
      </c>
      <c r="U186" s="1228">
        <f t="shared" ca="1" si="32"/>
        <v>0</v>
      </c>
      <c r="V186" s="2197">
        <v>0</v>
      </c>
      <c r="W186" s="1535">
        <v>0.5</v>
      </c>
      <c r="X186" s="1221">
        <v>0</v>
      </c>
      <c r="Y186" s="2200">
        <v>0.5</v>
      </c>
      <c r="Z186" s="2197">
        <v>0</v>
      </c>
      <c r="AA186" s="1535">
        <v>0.5</v>
      </c>
      <c r="AB186" s="1221">
        <v>0</v>
      </c>
      <c r="AC186" s="1535">
        <v>0.5</v>
      </c>
      <c r="AD186" s="1221">
        <v>0</v>
      </c>
      <c r="AE186" s="1535">
        <v>0.5</v>
      </c>
      <c r="AF186" s="2267"/>
    </row>
    <row r="187" spans="1:32" ht="15.75" thickBot="1" x14ac:dyDescent="0.3">
      <c r="A187" s="66">
        <v>83</v>
      </c>
      <c r="B187" s="146" t="s">
        <v>726</v>
      </c>
      <c r="C187" s="36">
        <v>0</v>
      </c>
      <c r="D187" s="960">
        <f>C186+C187</f>
        <v>0</v>
      </c>
      <c r="E187" s="645">
        <f>C187-F187</f>
        <v>0</v>
      </c>
      <c r="F187" s="78">
        <v>0</v>
      </c>
      <c r="L187" s="615">
        <v>81</v>
      </c>
      <c r="M187" s="1186" t="s">
        <v>717</v>
      </c>
      <c r="N187" s="1140"/>
      <c r="O187" s="1140"/>
      <c r="P187" s="1204">
        <f t="shared" ref="P187:Q192" ca="1" si="34">IF(P$179=$T$181,$T187*BGOEWTotRente,$U187*BGOEWTotRente)</f>
        <v>0</v>
      </c>
      <c r="Q187" s="1209">
        <f t="shared" ca="1" si="34"/>
        <v>0</v>
      </c>
      <c r="R187" s="1251" t="s">
        <v>710</v>
      </c>
      <c r="S187" s="1247" t="str">
        <f t="shared" si="31"/>
        <v>Rente ontvangen als partneralimentatie</v>
      </c>
      <c r="T187" s="1223">
        <f t="shared" ca="1" si="33"/>
        <v>0</v>
      </c>
      <c r="U187" s="1224">
        <f t="shared" ca="1" si="32"/>
        <v>0</v>
      </c>
      <c r="V187" s="2195">
        <v>0</v>
      </c>
      <c r="W187" s="1533">
        <v>0.5</v>
      </c>
      <c r="X187" s="1218">
        <v>0</v>
      </c>
      <c r="Y187" s="2198">
        <v>0.5</v>
      </c>
      <c r="Z187" s="2195">
        <v>0</v>
      </c>
      <c r="AA187" s="1533">
        <v>0</v>
      </c>
      <c r="AB187" s="1218">
        <v>0.5</v>
      </c>
      <c r="AC187" s="1533">
        <v>0</v>
      </c>
      <c r="AD187" s="1218">
        <v>0.5</v>
      </c>
      <c r="AE187" s="1533">
        <v>0</v>
      </c>
      <c r="AF187" s="2267"/>
    </row>
    <row r="188" spans="1:32" ht="15.75" thickBot="1" x14ac:dyDescent="0.3">
      <c r="A188" s="166">
        <v>83</v>
      </c>
      <c r="B188" s="110" t="s">
        <v>1074</v>
      </c>
      <c r="C188" s="39">
        <v>0</v>
      </c>
      <c r="D188" s="345"/>
      <c r="E188" s="226">
        <f>C188-F188</f>
        <v>0</v>
      </c>
      <c r="F188" s="79">
        <v>0</v>
      </c>
      <c r="L188" s="273" t="s">
        <v>692</v>
      </c>
      <c r="M188" s="1187" t="s">
        <v>720</v>
      </c>
      <c r="N188" s="1139"/>
      <c r="O188" s="1139"/>
      <c r="P188" s="1205">
        <f t="shared" ca="1" si="34"/>
        <v>0</v>
      </c>
      <c r="Q188" s="1210">
        <f t="shared" ca="1" si="34"/>
        <v>0</v>
      </c>
      <c r="R188" s="1253" t="s">
        <v>711</v>
      </c>
      <c r="S188" s="1248" t="str">
        <f t="shared" si="31"/>
        <v>Rente Onverdeeld Eigen Woning Eigen aandeel</v>
      </c>
      <c r="T188" s="1225">
        <f t="shared" ca="1" si="33"/>
        <v>0</v>
      </c>
      <c r="U188" s="1226">
        <f t="shared" ca="1" si="32"/>
        <v>0</v>
      </c>
      <c r="V188" s="1225">
        <f>IF(BGOEW24MndTermijn="Nee",0.5,0)</f>
        <v>0.5</v>
      </c>
      <c r="W188" s="1534">
        <v>0.5</v>
      </c>
      <c r="X188" s="1219">
        <f>IF(BGOEW24MndTermijn="Nee",0.5,0)</f>
        <v>0.5</v>
      </c>
      <c r="Y188" s="2199">
        <v>0.5</v>
      </c>
      <c r="Z188" s="1225">
        <f>IF(BGOEW24MndTermijn="Nee",0.5,0)</f>
        <v>0.5</v>
      </c>
      <c r="AA188" s="1534">
        <v>0.5</v>
      </c>
      <c r="AB188" s="1219">
        <f>IF(BGOEW24MndTermijn="Nee",0.5,0)</f>
        <v>0.5</v>
      </c>
      <c r="AC188" s="1534">
        <v>0.5</v>
      </c>
      <c r="AD188" s="1225">
        <f>IF(BGOEW24MndTermijn="Nee",0.5,0)</f>
        <v>0.5</v>
      </c>
      <c r="AE188" s="1534">
        <v>0.5</v>
      </c>
      <c r="AF188" s="2267"/>
    </row>
    <row r="189" spans="1:32" ht="15.75" thickBot="1" x14ac:dyDescent="0.3">
      <c r="A189" s="161">
        <v>83</v>
      </c>
      <c r="B189" s="2892" t="s">
        <v>800</v>
      </c>
      <c r="C189" s="2942"/>
      <c r="D189" s="647">
        <f>(C187*12)+C188</f>
        <v>0</v>
      </c>
      <c r="E189" s="1313">
        <f>D189-F189</f>
        <v>0</v>
      </c>
      <c r="F189" s="1319">
        <f>(F187*12)+F188</f>
        <v>0</v>
      </c>
      <c r="L189" s="273" t="s">
        <v>692</v>
      </c>
      <c r="M189" s="1187" t="s">
        <v>719</v>
      </c>
      <c r="N189" s="1139"/>
      <c r="O189" s="1139"/>
      <c r="P189" s="1205">
        <f t="shared" ca="1" si="34"/>
        <v>0</v>
      </c>
      <c r="Q189" s="1210">
        <f t="shared" ca="1" si="34"/>
        <v>0</v>
      </c>
      <c r="R189" s="1253" t="s">
        <v>711</v>
      </c>
      <c r="S189" s="1248" t="str">
        <f t="shared" si="31"/>
        <v>Rente betaald voor ex. partner als partneralimentatie</v>
      </c>
      <c r="T189" s="1225">
        <f t="shared" ca="1" si="33"/>
        <v>0</v>
      </c>
      <c r="U189" s="1226">
        <f t="shared" ca="1" si="32"/>
        <v>0</v>
      </c>
      <c r="V189" s="2196">
        <v>0</v>
      </c>
      <c r="W189" s="1534">
        <v>0</v>
      </c>
      <c r="X189" s="1220">
        <v>0.5</v>
      </c>
      <c r="Y189" s="2199">
        <v>0</v>
      </c>
      <c r="Z189" s="2196">
        <v>0</v>
      </c>
      <c r="AA189" s="1534">
        <v>0</v>
      </c>
      <c r="AB189" s="1220">
        <v>0</v>
      </c>
      <c r="AC189" s="1534">
        <v>0</v>
      </c>
      <c r="AD189" s="1220">
        <v>0</v>
      </c>
      <c r="AE189" s="1534">
        <v>0.5</v>
      </c>
      <c r="AF189" s="2267"/>
    </row>
    <row r="190" spans="1:32" ht="15.75" thickBot="1" x14ac:dyDescent="0.3">
      <c r="A190" s="161">
        <v>84</v>
      </c>
      <c r="B190" s="163" t="s">
        <v>722</v>
      </c>
      <c r="C190" s="53">
        <v>0</v>
      </c>
      <c r="D190" s="961">
        <f>E190*12</f>
        <v>0</v>
      </c>
      <c r="E190" s="1314">
        <f>C190-F190</f>
        <v>0</v>
      </c>
      <c r="F190" s="135">
        <v>0</v>
      </c>
      <c r="L190" s="1184" t="s">
        <v>693</v>
      </c>
      <c r="M190" s="1187" t="s">
        <v>723</v>
      </c>
      <c r="N190" s="1139"/>
      <c r="O190" s="1139"/>
      <c r="P190" s="1205">
        <f t="shared" ca="1" si="34"/>
        <v>0</v>
      </c>
      <c r="Q190" s="1210">
        <f t="shared" ca="1" si="34"/>
        <v>0</v>
      </c>
      <c r="R190" s="1252" t="s">
        <v>710</v>
      </c>
      <c r="S190" s="1248" t="str">
        <f t="shared" si="31"/>
        <v>Rente bijdrage ZVW over de rente berekenen over</v>
      </c>
      <c r="T190" s="1225">
        <f t="shared" ca="1" si="33"/>
        <v>0</v>
      </c>
      <c r="U190" s="1226">
        <f t="shared" ca="1" si="32"/>
        <v>0</v>
      </c>
      <c r="V190" s="2196">
        <v>0</v>
      </c>
      <c r="W190" s="1534">
        <v>0.5</v>
      </c>
      <c r="X190" s="1220">
        <v>0</v>
      </c>
      <c r="Y190" s="2199">
        <v>0.5</v>
      </c>
      <c r="Z190" s="2196">
        <v>0</v>
      </c>
      <c r="AA190" s="1534">
        <v>0</v>
      </c>
      <c r="AB190" s="1220">
        <v>0.5</v>
      </c>
      <c r="AC190" s="1534">
        <v>0</v>
      </c>
      <c r="AD190" s="1220">
        <v>0.5</v>
      </c>
      <c r="AE190" s="1534">
        <v>0</v>
      </c>
      <c r="AF190" s="2267"/>
    </row>
    <row r="191" spans="1:32" ht="15.75" customHeight="1" x14ac:dyDescent="0.25">
      <c r="E191" s="344"/>
      <c r="L191" s="273">
        <v>123</v>
      </c>
      <c r="M191" s="1187" t="s">
        <v>718</v>
      </c>
      <c r="N191" s="1139"/>
      <c r="O191" s="1139"/>
      <c r="P191" s="1205">
        <f t="shared" ca="1" si="34"/>
        <v>0</v>
      </c>
      <c r="Q191" s="1210">
        <f t="shared" ca="1" si="34"/>
        <v>0</v>
      </c>
      <c r="R191" s="1252" t="s">
        <v>710</v>
      </c>
      <c r="S191" s="1248" t="str">
        <f t="shared" si="31"/>
        <v>Rente Onverdeeld Eigen Woning</v>
      </c>
      <c r="T191" s="1225">
        <f t="shared" ca="1" si="33"/>
        <v>0</v>
      </c>
      <c r="U191" s="1226">
        <f t="shared" ca="1" si="32"/>
        <v>0</v>
      </c>
      <c r="V191" s="2196">
        <v>0.5</v>
      </c>
      <c r="W191" s="1534">
        <v>0</v>
      </c>
      <c r="X191" s="1220">
        <v>1</v>
      </c>
      <c r="Y191" s="2199">
        <v>0</v>
      </c>
      <c r="Z191" s="2196">
        <v>0.5</v>
      </c>
      <c r="AA191" s="1534">
        <v>0.5</v>
      </c>
      <c r="AB191" s="1220">
        <v>0</v>
      </c>
      <c r="AC191" s="1534">
        <v>0.5</v>
      </c>
      <c r="AD191" s="1220">
        <v>0</v>
      </c>
      <c r="AE191" s="1534">
        <v>1</v>
      </c>
      <c r="AF191" s="2267"/>
    </row>
    <row r="192" spans="1:32" ht="15.75" thickBot="1" x14ac:dyDescent="0.3">
      <c r="L192" s="559">
        <v>138</v>
      </c>
      <c r="M192" s="425" t="s">
        <v>719</v>
      </c>
      <c r="N192" s="1141"/>
      <c r="O192" s="1141"/>
      <c r="P192" s="1206">
        <f t="shared" ca="1" si="34"/>
        <v>0</v>
      </c>
      <c r="Q192" s="1211">
        <f t="shared" ca="1" si="34"/>
        <v>0</v>
      </c>
      <c r="R192" s="1255" t="s">
        <v>712</v>
      </c>
      <c r="S192" s="1249" t="str">
        <f t="shared" si="31"/>
        <v>Rente betaald voor ex. partner als partneralimentatie</v>
      </c>
      <c r="T192" s="1227">
        <f t="shared" ca="1" si="33"/>
        <v>0</v>
      </c>
      <c r="U192" s="1228">
        <f t="shared" ca="1" si="32"/>
        <v>0</v>
      </c>
      <c r="V192" s="2197">
        <v>0.5</v>
      </c>
      <c r="W192" s="1535">
        <v>0</v>
      </c>
      <c r="X192" s="1221">
        <v>0</v>
      </c>
      <c r="Y192" s="2200"/>
      <c r="Z192" s="2197">
        <v>0</v>
      </c>
      <c r="AA192" s="1535">
        <v>0</v>
      </c>
      <c r="AB192" s="1221">
        <v>0</v>
      </c>
      <c r="AC192" s="1535">
        <v>0.5</v>
      </c>
      <c r="AD192" s="1221">
        <v>0</v>
      </c>
      <c r="AE192" s="1535">
        <v>0</v>
      </c>
      <c r="AF192" s="2267"/>
    </row>
    <row r="193" spans="1:32" ht="15" customHeight="1" thickBot="1" x14ac:dyDescent="0.3">
      <c r="B193" s="661" t="s">
        <v>901</v>
      </c>
      <c r="E193" s="939" t="str">
        <f>IF(P179="Verlater",Basisgegevens!P181,Basisgegevens!Q181)</f>
        <v>Alimentatie Gerechtigd</v>
      </c>
      <c r="F193" s="939"/>
      <c r="L193" s="161">
        <v>104</v>
      </c>
      <c r="M193" s="1185" t="s">
        <v>725</v>
      </c>
      <c r="N193" s="1185"/>
      <c r="O193" s="1185"/>
      <c r="P193" s="1207">
        <f ca="1">IF(P$179=$T$181,$T193*BGOEWTotSchuld,$U193*BGOEWTotSchuld)</f>
        <v>0</v>
      </c>
      <c r="Q193" s="1212">
        <f ca="1">IF(Q$179=$T$181,$T193*BGOEWTotSchuld,$U193*BGOEWTotSchuld)</f>
        <v>0</v>
      </c>
      <c r="R193" s="1256" t="s">
        <v>710</v>
      </c>
      <c r="S193" s="1216" t="str">
        <f t="shared" si="31"/>
        <v xml:space="preserve">Aandeel in schuld van de Onverdeeld Eigen Woning in box 3 </v>
      </c>
      <c r="T193" s="1158">
        <f t="shared" ca="1" si="33"/>
        <v>0</v>
      </c>
      <c r="U193" s="1159">
        <f t="shared" ca="1" si="32"/>
        <v>0</v>
      </c>
      <c r="V193" s="1158">
        <f>IF(BGOEW24MndTermijn="Nee",0,0.5)</f>
        <v>0</v>
      </c>
      <c r="W193" s="1182">
        <v>0</v>
      </c>
      <c r="X193" s="1222">
        <f>IF(BGOEW24MndTermijn="Nee",0,0.5)</f>
        <v>0</v>
      </c>
      <c r="Y193" s="2201">
        <v>0</v>
      </c>
      <c r="Z193" s="1158">
        <f>IF(BGOEW24MndTermijn="Nee",0,0.5)</f>
        <v>0</v>
      </c>
      <c r="AA193" s="1182">
        <v>0</v>
      </c>
      <c r="AB193" s="1222">
        <f>IF(BGOEW24MndTermijn="Nee",0,0.5)</f>
        <v>0</v>
      </c>
      <c r="AC193" s="1182">
        <v>0</v>
      </c>
      <c r="AD193" s="1222">
        <f>IF(BGOEW24MndTermijn="Nee",0,0.5)</f>
        <v>0</v>
      </c>
      <c r="AE193" s="1182">
        <v>0</v>
      </c>
      <c r="AF193" s="2267"/>
    </row>
    <row r="194" spans="1:32" ht="15.75" customHeight="1" thickBot="1" x14ac:dyDescent="0.3">
      <c r="A194" s="9" t="s">
        <v>240</v>
      </c>
      <c r="B194" s="2922" t="s">
        <v>102</v>
      </c>
      <c r="C194" s="2923"/>
      <c r="D194" s="2924"/>
      <c r="E194" s="9" t="s">
        <v>886</v>
      </c>
      <c r="F194" s="351" t="s">
        <v>208</v>
      </c>
      <c r="G194" s="1692"/>
      <c r="H194" s="1692"/>
      <c r="I194" s="1693"/>
      <c r="L194" s="161" t="s">
        <v>693</v>
      </c>
      <c r="M194" s="1191" t="str">
        <f ca="1">"Afdracht ZVW over EWF en/of Rente a € "&amp;P186+P190&amp;" (AP) /"&amp;Q186+Q190&amp;" (AG)"</f>
        <v>Afdracht ZVW over EWF en/of Rente a € 0 (AP) /0 (AG)</v>
      </c>
      <c r="N194" s="1192"/>
      <c r="O194" s="1193"/>
      <c r="P194" s="1214">
        <f ca="1">IF(OR(P186+P190=0,BGZVWJaarInkomen-(AL59Arbeidsinkomen_AP+AL60Arbeidsinkomen_AP+AL75BelastbareWinst_AP)&lt;=0),0,IF(BGZVWJaarInkomen-(AL59Arbeidsinkomen_AP+AL60Arbeidsinkomen_AP+AL75BelastbareWinst_AP)-P186-P190&lt;=0,(BGZVWJaarInkomen-(AL59Arbeidsinkomen_AP+AL60Arbeidsinkomen_AP+AL75BelastbareWinst_AP))*BGZVWPremie,(P186+P190)*BGZVWPremie))</f>
        <v>0</v>
      </c>
      <c r="Q194" s="1215">
        <f ca="1">IF(OR(Q186+Q190=0,BGZVWJaarInkomen-(AL59Arbeidsinkomen_AG+AL60Arbeidsinkomen_AG+IF(AL75BelastbareWinst_AG&lt;=0,0,AL75BelastbareWinst_AG))&lt;=0),0,IF(BGZVWJaarInkomen-(AL59Arbeidsinkomen_AG+AL60Arbeidsinkomen_AG+IF(AL75BelastbareWinst_AG&lt;=0,0,AL75BelastbareWinst_AG))-Q186-Q190&lt;=0,(BGZVWJaarInkomen-(AL59Arbeidsinkomen_AG+AL60Arbeidsinkomen_AG+IF(AL75BelastbareWinst_AG&lt;=0,0,AL75BelastbareWinst_AG)))*BGZVWPremie,(Q186+Q190)*BGZVWPremie))</f>
        <v>0</v>
      </c>
      <c r="R194" s="1256" t="s">
        <v>710</v>
      </c>
      <c r="AF194" s="2267"/>
    </row>
    <row r="195" spans="1:32" ht="15.75" thickBot="1" x14ac:dyDescent="0.3">
      <c r="A195" s="1328" t="s">
        <v>874</v>
      </c>
      <c r="B195" s="2925" t="str">
        <f>"OEW: De maandelijks  aan de verlater: "&amp;IF(P179="Verlater",Basisgegevens!P181,Basisgegevens!Q181)&amp;" te betalen afgesproken woonvergoeding"</f>
        <v>OEW: De maandelijks  aan de verlater: Alimentatie Gerechtigd te betalen afgesproken woonvergoeding</v>
      </c>
      <c r="C195" s="2763"/>
      <c r="D195" s="2804"/>
      <c r="E195" s="1320">
        <v>0</v>
      </c>
      <c r="F195" s="2743" t="s">
        <v>902</v>
      </c>
      <c r="G195" s="2744"/>
      <c r="H195" s="2744"/>
      <c r="I195" s="2745"/>
      <c r="AF195" s="2267"/>
    </row>
    <row r="196" spans="1:32" ht="15.75" thickBot="1" x14ac:dyDescent="0.3">
      <c r="F196" s="2746"/>
      <c r="G196" s="2747"/>
      <c r="H196" s="2747"/>
      <c r="I196" s="2748"/>
      <c r="AF196" s="2267"/>
    </row>
    <row r="197" spans="1:32" ht="16.5" thickBot="1" x14ac:dyDescent="0.3">
      <c r="E197" s="21"/>
      <c r="F197" s="21"/>
      <c r="M197" s="75" t="s">
        <v>1102</v>
      </c>
      <c r="Q197" s="117"/>
      <c r="AF197" s="2267"/>
    </row>
    <row r="198" spans="1:32" ht="16.5" thickBot="1" x14ac:dyDescent="0.3">
      <c r="B198" s="661" t="s">
        <v>888</v>
      </c>
      <c r="E198" s="939" t="str">
        <f>BGPartner_AP</f>
        <v>Alimentatie Plichtig</v>
      </c>
      <c r="F198" s="939" t="str">
        <f>BGPartner_AG</f>
        <v>Alimentatie Gerechtigd</v>
      </c>
      <c r="M198" s="310" t="s">
        <v>184</v>
      </c>
      <c r="N198" s="6" t="s">
        <v>364</v>
      </c>
      <c r="O198" s="115" t="s">
        <v>0</v>
      </c>
      <c r="Q198" s="117"/>
      <c r="AF198" s="2267"/>
    </row>
    <row r="199" spans="1:32" ht="15.75" thickBot="1" x14ac:dyDescent="0.3">
      <c r="A199" s="9" t="s">
        <v>240</v>
      </c>
      <c r="B199" s="2922" t="s">
        <v>571</v>
      </c>
      <c r="C199" s="2923"/>
      <c r="D199" s="2924"/>
      <c r="E199" s="9" t="s">
        <v>887</v>
      </c>
      <c r="F199" s="1557" t="s">
        <v>887</v>
      </c>
      <c r="G199" s="2677" t="s">
        <v>208</v>
      </c>
      <c r="H199" s="2678"/>
      <c r="I199" s="2678"/>
      <c r="J199" s="2679"/>
      <c r="L199" s="161">
        <v>106</v>
      </c>
      <c r="M199" s="1499">
        <v>2022</v>
      </c>
      <c r="N199" s="1068">
        <v>0</v>
      </c>
      <c r="O199" s="1069">
        <v>0</v>
      </c>
      <c r="P199" s="942" t="s">
        <v>661</v>
      </c>
      <c r="AF199" s="2267"/>
    </row>
    <row r="200" spans="1:32" x14ac:dyDescent="0.25">
      <c r="A200" s="67">
        <v>138</v>
      </c>
      <c r="B200" s="2735" t="str">
        <f>"VEW: HypotheekRENTE/Maand die door: "&amp;BGPartner_AP&amp;" wordt betaald voor: "&amp;BGPartner_AG</f>
        <v>VEW: HypotheekRENTE/Maand die door: Alimentatie Plichtig wordt betaald voor: Alimentatie Gerechtigd</v>
      </c>
      <c r="C200" s="2736"/>
      <c r="D200" s="2737"/>
      <c r="E200" s="937">
        <v>0</v>
      </c>
      <c r="F200" s="938"/>
      <c r="G200" s="2810" t="s">
        <v>713</v>
      </c>
      <c r="H200" s="2811"/>
      <c r="I200" s="2811"/>
      <c r="J200" s="2812"/>
      <c r="AF200" s="2267"/>
    </row>
    <row r="201" spans="1:32" ht="16.5" thickBot="1" x14ac:dyDescent="0.3">
      <c r="A201" s="66">
        <v>138</v>
      </c>
      <c r="B201" s="2805" t="str">
        <f>"VEW: HypotheekRENTE/Maand die door: "&amp;BGPartner_AG&amp;" wordt betaald voor: "&amp;BGPartner_AP</f>
        <v>VEW: HypotheekRENTE/Maand die door: Alimentatie Gerechtigd wordt betaald voor: Alimentatie Plichtig</v>
      </c>
      <c r="C201" s="2806"/>
      <c r="D201" s="2807"/>
      <c r="E201" s="818"/>
      <c r="F201" s="424">
        <v>0</v>
      </c>
      <c r="G201" s="2813"/>
      <c r="H201" s="2814"/>
      <c r="I201" s="2814"/>
      <c r="J201" s="2815"/>
      <c r="M201" s="1070" t="str">
        <f>"Heffingsvrij vermogen "&amp;BGJaarBerekening</f>
        <v>Heffingsvrij vermogen 2024</v>
      </c>
      <c r="O201" s="32" t="s">
        <v>653</v>
      </c>
      <c r="AF201" s="2267"/>
    </row>
    <row r="202" spans="1:32" ht="15.75" thickBot="1" x14ac:dyDescent="0.3">
      <c r="A202" s="9" t="s">
        <v>240</v>
      </c>
      <c r="B202" s="2922" t="s">
        <v>572</v>
      </c>
      <c r="C202" s="2923"/>
      <c r="D202" s="2924"/>
      <c r="E202" s="939" t="str">
        <f>BGPartner_AP</f>
        <v>Alimentatie Plichtig</v>
      </c>
      <c r="F202" s="939" t="str">
        <f>BGPartner_AG</f>
        <v>Alimentatie Gerechtigd</v>
      </c>
      <c r="G202" s="2813"/>
      <c r="H202" s="2814"/>
      <c r="I202" s="2814"/>
      <c r="J202" s="2815"/>
      <c r="L202" s="1032"/>
      <c r="M202" s="2954" t="s">
        <v>185</v>
      </c>
      <c r="N202" s="2956" t="s">
        <v>186</v>
      </c>
      <c r="AF202" s="2267"/>
    </row>
    <row r="203" spans="1:32" ht="15.75" thickBot="1" x14ac:dyDescent="0.3">
      <c r="A203" s="28">
        <v>138</v>
      </c>
      <c r="B203" s="2735" t="str">
        <f>"VEW: HypotheekAFLOSSING/Maand die door: "&amp;BGPartner_AP&amp;" wordt betaald voor: "&amp;"BGPartnerAG"</f>
        <v>VEW: HypotheekAFLOSSING/Maand die door: Alimentatie Plichtig wordt betaald voor: BGPartnerAG</v>
      </c>
      <c r="C203" s="2736"/>
      <c r="D203" s="2737"/>
      <c r="E203" s="947">
        <v>0</v>
      </c>
      <c r="F203" s="1000"/>
      <c r="G203" s="2813"/>
      <c r="H203" s="2814"/>
      <c r="I203" s="2814"/>
      <c r="J203" s="2815"/>
      <c r="L203" s="1257" t="s">
        <v>184</v>
      </c>
      <c r="M203" s="2955"/>
      <c r="N203" s="2957"/>
      <c r="O203" s="1032"/>
      <c r="AF203" s="2267"/>
    </row>
    <row r="204" spans="1:32" ht="15.75" thickBot="1" x14ac:dyDescent="0.3">
      <c r="A204" s="30">
        <v>138</v>
      </c>
      <c r="B204" s="2805" t="str">
        <f>"VEW: HypotheekAFLOSSING/Maand die door: "&amp;BGPartner_AG&amp;" wordt betaald voor: "&amp;BGPartner_AP</f>
        <v>VEW: HypotheekAFLOSSING/Maand die door: Alimentatie Gerechtigd wordt betaald voor: Alimentatie Plichtig</v>
      </c>
      <c r="C204" s="2806"/>
      <c r="D204" s="2807"/>
      <c r="E204" s="819"/>
      <c r="F204" s="948">
        <v>0</v>
      </c>
      <c r="G204" s="2816"/>
      <c r="H204" s="2817"/>
      <c r="I204" s="2817"/>
      <c r="J204" s="2818"/>
      <c r="L204" s="1500">
        <f>BGJaarBerekening</f>
        <v>2024</v>
      </c>
      <c r="M204" s="1258">
        <v>57000</v>
      </c>
      <c r="N204" s="1259">
        <v>114000</v>
      </c>
      <c r="O204" s="1032"/>
      <c r="AF204" s="2267"/>
    </row>
    <row r="205" spans="1:32" ht="15.75" thickBot="1" x14ac:dyDescent="0.3">
      <c r="AF205" s="2267"/>
    </row>
    <row r="206" spans="1:32" ht="16.5" thickBot="1" x14ac:dyDescent="0.3">
      <c r="B206" s="763" t="s">
        <v>896</v>
      </c>
      <c r="C206" s="61" t="str">
        <f>BGPartner_AP</f>
        <v>Alimentatie Plichtig</v>
      </c>
      <c r="E206" s="22" t="str">
        <f>BGPartner_AG</f>
        <v>Alimentatie Gerechtigd</v>
      </c>
      <c r="L206" s="26"/>
      <c r="N206" s="1032"/>
      <c r="O206" s="1023" t="s">
        <v>1101</v>
      </c>
      <c r="P206" s="1032"/>
      <c r="Q206" s="1032"/>
      <c r="R206" s="1032"/>
      <c r="S206" s="26"/>
      <c r="AF206" s="2267"/>
    </row>
    <row r="207" spans="1:32" ht="16.5" thickBot="1" x14ac:dyDescent="0.3">
      <c r="B207" s="269" t="s">
        <v>147</v>
      </c>
      <c r="C207" s="44" t="s">
        <v>92</v>
      </c>
      <c r="D207" s="2" t="s">
        <v>850</v>
      </c>
      <c r="E207" s="44" t="s">
        <v>92</v>
      </c>
      <c r="F207" s="2" t="s">
        <v>850</v>
      </c>
      <c r="L207" s="26"/>
      <c r="M207" s="1070" t="str">
        <f>"Forfaitair rendement op vermogen "&amp;BGJaarBerekening</f>
        <v>Forfaitair rendement op vermogen 2024</v>
      </c>
      <c r="N207" s="1071"/>
      <c r="O207" s="1517" t="s">
        <v>881</v>
      </c>
      <c r="P207" s="1518"/>
      <c r="Q207" s="1517" t="s">
        <v>882</v>
      </c>
      <c r="R207" s="1518"/>
      <c r="T207" s="1517" t="s">
        <v>879</v>
      </c>
      <c r="U207" s="1518"/>
      <c r="V207" s="1517" t="s">
        <v>880</v>
      </c>
      <c r="W207" s="1518"/>
      <c r="AF207" s="2267"/>
    </row>
    <row r="208" spans="1:32" ht="15.75" thickBot="1" x14ac:dyDescent="0.3">
      <c r="A208" s="5" t="s">
        <v>240</v>
      </c>
      <c r="B208" s="108" t="s">
        <v>71</v>
      </c>
      <c r="C208" s="22" t="str">
        <f>IF(C207="Maand","Maandloon",IF(C207="4 Weken","4-Wekenloon",IF(C207="Anders","Anders","")))</f>
        <v>Maandloon</v>
      </c>
      <c r="D208" s="22" t="s">
        <v>1</v>
      </c>
      <c r="E208" s="22" t="str">
        <f>IF(E207="Maand","Maandloon",IF(E207="4 Weken","4-Wekenloon",IF(E207="Anders","Anders","")))</f>
        <v>Maandloon</v>
      </c>
      <c r="F208" s="22" t="s">
        <v>1</v>
      </c>
      <c r="G208" s="2677" t="s">
        <v>208</v>
      </c>
      <c r="H208" s="2678"/>
      <c r="I208" s="2678"/>
      <c r="J208" s="2679"/>
      <c r="L208" s="1497" t="s">
        <v>809</v>
      </c>
      <c r="M208" s="1498" t="s">
        <v>102</v>
      </c>
      <c r="N208" s="1496"/>
      <c r="O208" s="687" t="str">
        <f>BGPartner_AP</f>
        <v>Alimentatie Plichtig</v>
      </c>
      <c r="P208" s="1508" t="str">
        <f>BGPartner_AG</f>
        <v>Alimentatie Gerechtigd</v>
      </c>
      <c r="Q208" s="1510" t="str">
        <f>BGPartner_AP</f>
        <v>Alimentatie Plichtig</v>
      </c>
      <c r="R208" s="1508" t="str">
        <f>BGPartner_AG</f>
        <v>Alimentatie Gerechtigd</v>
      </c>
      <c r="S208" s="354" t="s">
        <v>78</v>
      </c>
      <c r="T208" s="1510" t="str">
        <f>BGPartner_AP</f>
        <v>Alimentatie Plichtig</v>
      </c>
      <c r="U208" s="1508" t="str">
        <f>BGPartner_AG</f>
        <v>Alimentatie Gerechtigd</v>
      </c>
      <c r="V208" s="1510" t="str">
        <f>BGPartner_AP</f>
        <v>Alimentatie Plichtig</v>
      </c>
      <c r="W208" s="1508" t="str">
        <f>BGPartner_AG</f>
        <v>Alimentatie Gerechtigd</v>
      </c>
      <c r="AF208" s="2267"/>
    </row>
    <row r="209" spans="1:32" ht="17.25" x14ac:dyDescent="0.25">
      <c r="A209" s="64"/>
      <c r="B209" s="109" t="s">
        <v>149</v>
      </c>
      <c r="C209" s="96">
        <v>0</v>
      </c>
      <c r="D209" s="229">
        <f>IF(C$207="Maand",C209*12,IF(C$207="Jaar",C209,0))</f>
        <v>0</v>
      </c>
      <c r="E209" s="96">
        <v>0</v>
      </c>
      <c r="F209" s="229">
        <f>IF(E$207="Maand",E209*12,IF(E$207="Jaar",E209,0))</f>
        <v>0</v>
      </c>
      <c r="G209" s="2735" t="s">
        <v>417</v>
      </c>
      <c r="H209" s="2736"/>
      <c r="I209" s="2736"/>
      <c r="J209" s="2737"/>
      <c r="L209" s="1501" t="s">
        <v>510</v>
      </c>
      <c r="M209" s="1503" t="s">
        <v>808</v>
      </c>
      <c r="N209" s="1515"/>
      <c r="O209" s="501">
        <f>'Alimentatie 2024-02'!D158</f>
        <v>0</v>
      </c>
      <c r="P209" s="1522">
        <f>'Alimentatie 2024-02'!F158</f>
        <v>0</v>
      </c>
      <c r="Q209" s="1519">
        <f t="shared" ref="Q209:R211" si="35">O209*$S209</f>
        <v>0</v>
      </c>
      <c r="R209" s="1520">
        <f t="shared" si="35"/>
        <v>0</v>
      </c>
      <c r="S209" s="1523">
        <v>1.03E-2</v>
      </c>
      <c r="T209" s="633">
        <f>'Alimentatie 2024-02'!E158</f>
        <v>0</v>
      </c>
      <c r="U209" s="1522">
        <f>'Alimentatie 2024-02'!G158</f>
        <v>0</v>
      </c>
      <c r="V209" s="1519">
        <f t="shared" ref="V209:W211" si="36">T209*$S209</f>
        <v>0</v>
      </c>
      <c r="W209" s="1520">
        <f t="shared" si="36"/>
        <v>0</v>
      </c>
      <c r="AF209" s="2267"/>
    </row>
    <row r="210" spans="1:32" ht="18" thickBot="1" x14ac:dyDescent="0.3">
      <c r="A210" s="164"/>
      <c r="B210" s="110" t="s">
        <v>150</v>
      </c>
      <c r="C210" s="39">
        <v>0</v>
      </c>
      <c r="D210" s="230">
        <f>IF(C$207="Maand",C210*12,IF(C$207="Jaar",C210,0))</f>
        <v>0</v>
      </c>
      <c r="E210" s="39">
        <v>0</v>
      </c>
      <c r="F210" s="230">
        <f>IF(E$207="Maand",E210*12,IF(E$207="Jaar",E210,0))</f>
        <v>0</v>
      </c>
      <c r="G210" s="2805" t="s">
        <v>418</v>
      </c>
      <c r="H210" s="2806"/>
      <c r="I210" s="2806"/>
      <c r="J210" s="2807"/>
      <c r="L210" s="1184" t="s">
        <v>511</v>
      </c>
      <c r="M210" s="1502" t="s">
        <v>1017</v>
      </c>
      <c r="N210" s="1511"/>
      <c r="O210" s="502">
        <f>SUM('Alimentatie 2024-02'!D159:D161)</f>
        <v>0</v>
      </c>
      <c r="P210" s="1017">
        <f>SUM('Alimentatie 2024-02'!F159:'Alimentatie 2024-02'!F161)</f>
        <v>0</v>
      </c>
      <c r="Q210" s="1061">
        <f t="shared" si="35"/>
        <v>0</v>
      </c>
      <c r="R210" s="1509">
        <f t="shared" si="35"/>
        <v>0</v>
      </c>
      <c r="S210" s="1524">
        <v>6.0400000000000002E-2</v>
      </c>
      <c r="T210" s="634">
        <f>SUM('Alimentatie 2024-02'!E159:E161)</f>
        <v>0</v>
      </c>
      <c r="U210" s="634">
        <f>SUM('Alimentatie 2024-02'!G159:G161)</f>
        <v>0</v>
      </c>
      <c r="V210" s="1061">
        <f t="shared" si="36"/>
        <v>0</v>
      </c>
      <c r="W210" s="1509">
        <f t="shared" si="36"/>
        <v>0</v>
      </c>
      <c r="AF210" s="2267"/>
    </row>
    <row r="211" spans="1:32" ht="18" thickBot="1" x14ac:dyDescent="0.3">
      <c r="A211" s="165" t="s">
        <v>39</v>
      </c>
      <c r="B211" s="111" t="s">
        <v>300</v>
      </c>
      <c r="C211" s="34">
        <f>SUM(C209:C210)</f>
        <v>0</v>
      </c>
      <c r="D211" s="34">
        <f>SUM(D209:D210)</f>
        <v>0</v>
      </c>
      <c r="E211" s="34">
        <f>SUM(E209:E210)</f>
        <v>0</v>
      </c>
      <c r="F211" s="34">
        <f>SUM(F209:F210)</f>
        <v>0</v>
      </c>
      <c r="L211" s="1183" t="s">
        <v>512</v>
      </c>
      <c r="M211" s="1512" t="s">
        <v>810</v>
      </c>
      <c r="N211" s="1516"/>
      <c r="O211" s="503">
        <f>'Alimentatie 2024-02'!D166</f>
        <v>0</v>
      </c>
      <c r="P211" s="1018">
        <f>'Alimentatie 2024-02'!F166</f>
        <v>0</v>
      </c>
      <c r="Q211" s="1062">
        <f t="shared" si="35"/>
        <v>0</v>
      </c>
      <c r="R211" s="1521">
        <f t="shared" si="35"/>
        <v>0</v>
      </c>
      <c r="S211" s="1525">
        <v>2.47E-2</v>
      </c>
      <c r="T211" s="1044">
        <f>'Alimentatie 2024-02'!E166</f>
        <v>0</v>
      </c>
      <c r="U211" s="1044">
        <f>'Alimentatie 2024-02'!G166</f>
        <v>0</v>
      </c>
      <c r="V211" s="1062">
        <f t="shared" si="36"/>
        <v>0</v>
      </c>
      <c r="W211" s="1521">
        <f t="shared" si="36"/>
        <v>0</v>
      </c>
      <c r="AF211" s="2267"/>
    </row>
    <row r="212" spans="1:32" ht="15.75" thickBot="1" x14ac:dyDescent="0.3">
      <c r="L212" s="26"/>
      <c r="M212" s="2938" t="s">
        <v>813</v>
      </c>
      <c r="N212" s="2939"/>
      <c r="O212" s="415">
        <f>O209+O210-O211</f>
        <v>0</v>
      </c>
      <c r="P212" s="550">
        <f>P209+P210-P211</f>
        <v>0</v>
      </c>
      <c r="Q212" s="70">
        <f>Q209+Q210-Q211</f>
        <v>0</v>
      </c>
      <c r="R212" s="550">
        <f>R209+R210-R211</f>
        <v>0</v>
      </c>
      <c r="S212" s="18"/>
      <c r="T212" s="70">
        <f>T209+T210-T211</f>
        <v>0</v>
      </c>
      <c r="U212" s="550">
        <f>U209+U210-U211</f>
        <v>0</v>
      </c>
      <c r="V212" s="70">
        <f>V209+V210-V211</f>
        <v>0</v>
      </c>
      <c r="W212" s="550">
        <f>W209+W210-W211</f>
        <v>0</v>
      </c>
      <c r="AF212" s="2267"/>
    </row>
    <row r="213" spans="1:32" ht="16.5" thickBot="1" x14ac:dyDescent="0.3">
      <c r="B213" s="763" t="s">
        <v>215</v>
      </c>
      <c r="AF213" s="2267"/>
    </row>
    <row r="214" spans="1:32" ht="15.75" thickBot="1" x14ac:dyDescent="0.3">
      <c r="A214" s="1107" t="s">
        <v>240</v>
      </c>
      <c r="B214" s="990" t="s">
        <v>102</v>
      </c>
      <c r="C214" s="48" t="s">
        <v>78</v>
      </c>
      <c r="AF214" s="2267"/>
    </row>
    <row r="215" spans="1:32" ht="15.75" thickBot="1" x14ac:dyDescent="0.3">
      <c r="A215" s="28">
        <v>51</v>
      </c>
      <c r="B215" s="765" t="str">
        <f>"Maximum pensioengevend salaris over loon in "&amp;BGJaarBerekening</f>
        <v>Maximum pensioengevend salaris over loon in 2024</v>
      </c>
      <c r="C215" s="1676">
        <v>137800</v>
      </c>
      <c r="AF215" s="2267"/>
    </row>
    <row r="216" spans="1:32" ht="15.75" thickBot="1" x14ac:dyDescent="0.3">
      <c r="A216" s="66"/>
      <c r="B216" s="1670" t="str">
        <f>"Tariefsbeperking aftrekposten bij inkomen &gt; €"&amp;N16&amp;" in "&amp;C17</f>
        <v>Tariefsbeperking aftrekposten bij inkomen &gt; €75518 in 2024</v>
      </c>
      <c r="C216" s="2487">
        <v>0.36969999999999997</v>
      </c>
      <c r="D216" s="72" t="s">
        <v>1104</v>
      </c>
      <c r="E216" s="115" t="s">
        <v>1105</v>
      </c>
      <c r="AF216" s="2267"/>
    </row>
    <row r="217" spans="1:32" ht="15.75" thickBot="1" x14ac:dyDescent="0.3">
      <c r="A217" s="66">
        <v>101</v>
      </c>
      <c r="B217" s="1671" t="s">
        <v>212</v>
      </c>
      <c r="C217" s="2490">
        <f>IF(AL100InkAanmBelang_AP&gt;=67000,Basisgegevens!E217,Basisgegevens!D217)</f>
        <v>0.245</v>
      </c>
      <c r="D217" s="2488">
        <v>0.245</v>
      </c>
      <c r="E217" s="2489">
        <v>0.33</v>
      </c>
      <c r="AF217" s="2267"/>
    </row>
    <row r="218" spans="1:32" x14ac:dyDescent="0.25">
      <c r="A218" s="66">
        <v>112</v>
      </c>
      <c r="B218" s="1671" t="s">
        <v>214</v>
      </c>
      <c r="C218" s="1132">
        <v>0.36</v>
      </c>
      <c r="AF218" s="2267"/>
    </row>
    <row r="219" spans="1:32" x14ac:dyDescent="0.25">
      <c r="A219" s="66" t="s">
        <v>362</v>
      </c>
      <c r="B219" s="1672" t="s">
        <v>363</v>
      </c>
      <c r="C219" s="1133">
        <v>3700</v>
      </c>
      <c r="D219" s="1023" t="s">
        <v>656</v>
      </c>
      <c r="AF219" s="2267"/>
    </row>
    <row r="220" spans="1:32" x14ac:dyDescent="0.25">
      <c r="A220" s="66" t="s">
        <v>40</v>
      </c>
      <c r="B220" s="1672" t="s">
        <v>742</v>
      </c>
      <c r="C220" s="1132">
        <v>5.3199999999999997E-2</v>
      </c>
      <c r="D220" s="537" t="s">
        <v>491</v>
      </c>
      <c r="AF220" s="2267"/>
    </row>
    <row r="221" spans="1:32" x14ac:dyDescent="0.25">
      <c r="A221" s="66"/>
      <c r="B221" s="1672" t="str">
        <f>CONCATENATE("Maximumbijdrage-inkomen ZVW-premie in ",C17)</f>
        <v>Maximumbijdrage-inkomen ZVW-premie in 2024</v>
      </c>
      <c r="C221" s="1133">
        <v>71624</v>
      </c>
      <c r="D221" s="537"/>
      <c r="AF221" s="2267"/>
    </row>
    <row r="222" spans="1:32" x14ac:dyDescent="0.25">
      <c r="A222" s="66">
        <v>121</v>
      </c>
      <c r="B222" s="1673" t="s">
        <v>1106</v>
      </c>
      <c r="C222" s="2491">
        <v>0.3</v>
      </c>
      <c r="AF222" s="2267"/>
    </row>
    <row r="223" spans="1:32" ht="18" thickBot="1" x14ac:dyDescent="0.3">
      <c r="A223" s="30">
        <v>123</v>
      </c>
      <c r="B223" s="1674" t="s">
        <v>1018</v>
      </c>
      <c r="C223" s="2261">
        <v>350</v>
      </c>
      <c r="AF223" s="2267"/>
    </row>
    <row r="224" spans="1:32" ht="15.75" thickBot="1" x14ac:dyDescent="0.3">
      <c r="A224" s="161">
        <v>123</v>
      </c>
      <c r="B224" s="1669" t="s">
        <v>803</v>
      </c>
      <c r="C224" s="1675">
        <v>0.3</v>
      </c>
      <c r="AF224" s="2267"/>
    </row>
    <row r="225" spans="1:32" ht="15.75" thickBot="1" x14ac:dyDescent="0.3">
      <c r="AF225" s="2267"/>
    </row>
    <row r="226" spans="1:32" ht="15.75" thickBot="1" x14ac:dyDescent="0.3">
      <c r="A226" s="776"/>
      <c r="B226" s="839" t="s">
        <v>558</v>
      </c>
      <c r="C226" s="61" t="str">
        <f>BGPartner_AP</f>
        <v>Alimentatie Plichtig</v>
      </c>
      <c r="D226" s="22" t="str">
        <f>BGPartner_AG</f>
        <v>Alimentatie Gerechtigd</v>
      </c>
      <c r="E226" s="22" t="s">
        <v>4</v>
      </c>
      <c r="AF226" s="2267"/>
    </row>
    <row r="227" spans="1:32" ht="15.75" thickBot="1" x14ac:dyDescent="0.3">
      <c r="A227" s="437">
        <v>137</v>
      </c>
      <c r="B227" s="658" t="s">
        <v>557</v>
      </c>
      <c r="C227" s="662">
        <v>0.6</v>
      </c>
      <c r="D227" s="662">
        <v>0.6</v>
      </c>
      <c r="E227" s="659">
        <v>0.7</v>
      </c>
      <c r="AF227" s="2267"/>
    </row>
    <row r="228" spans="1:32" ht="15.75" thickBot="1" x14ac:dyDescent="0.3">
      <c r="AF228" s="2267"/>
    </row>
    <row r="229" spans="1:32" ht="16.5" thickBot="1" x14ac:dyDescent="0.3">
      <c r="B229" s="763" t="s">
        <v>204</v>
      </c>
      <c r="C229" s="1106" t="str">
        <f>BGPartner_AP</f>
        <v>Alimentatie Plichtig</v>
      </c>
      <c r="D229" s="57" t="str">
        <f>BGPartner_AG</f>
        <v>Alimentatie Gerechtigd</v>
      </c>
      <c r="AF229" s="2267"/>
    </row>
    <row r="230" spans="1:32" ht="15.75" thickBot="1" x14ac:dyDescent="0.3">
      <c r="A230" s="2"/>
      <c r="B230" s="771" t="s">
        <v>1089</v>
      </c>
      <c r="C230" s="645">
        <f ca="1">ROUND(IF(AL121NBI_KA_AP+(AL81PeriodiekeUitk_KA_AP/12)&lt;0,0,AL121NBI_KA_AP+(AL81PeriodiekeUitk_KA_AP/12)),1)</f>
        <v>0</v>
      </c>
      <c r="D230" s="645">
        <f ca="1">ROUND(IF(AL121NBI_KA_AG+(AL81PeriodiekeUitk_KA_AG/12)&lt;0,0,AL121NBI_KA_AG+(AL81PeriodiekeUitk_KA_AG/12)),1)</f>
        <v>0</v>
      </c>
      <c r="AF230" s="2267"/>
    </row>
    <row r="231" spans="1:32" ht="15.75" thickBot="1" x14ac:dyDescent="0.3">
      <c r="A231" s="437">
        <v>121</v>
      </c>
      <c r="B231" s="772" t="s">
        <v>1090</v>
      </c>
      <c r="C231" s="646">
        <f ca="1">ROUND(IF(AL121NBI_AP+(AL81PeriodiekeUitk_AP/12)&lt;0,0,AL121NBI_AP+(AL81PeriodiekeUitk_AP/12)),1)</f>
        <v>0</v>
      </c>
      <c r="D231" s="646">
        <f ca="1">ROUND(IF(AL121NBI_AG+(AL81PeriodiekeUitk_AG/12)&lt;0,0,AL121NBI_AG+(AL81PeriodiekeUitk_AG/12)),1)</f>
        <v>0</v>
      </c>
      <c r="AF231" s="2267"/>
    </row>
    <row r="232" spans="1:32" ht="15.75" thickBot="1" x14ac:dyDescent="0.3">
      <c r="A232" s="43" t="s">
        <v>240</v>
      </c>
      <c r="B232" s="327" t="s">
        <v>102</v>
      </c>
      <c r="C232" s="2500" t="str">
        <f>BGPartner_AP</f>
        <v>Alimentatie Plichtig</v>
      </c>
      <c r="D232" s="1142" t="str">
        <f>BGPartner_AG</f>
        <v>Alimentatie Gerechtigd</v>
      </c>
      <c r="E232" s="57" t="s">
        <v>1019</v>
      </c>
      <c r="F232" s="2920" t="s">
        <v>339</v>
      </c>
      <c r="G232" s="2920"/>
      <c r="H232" s="2920"/>
      <c r="I232" s="2920"/>
      <c r="J232" s="2921"/>
      <c r="AF232" s="2267"/>
    </row>
    <row r="233" spans="1:32" x14ac:dyDescent="0.25">
      <c r="A233" s="28">
        <v>122</v>
      </c>
      <c r="B233" s="109" t="s">
        <v>338</v>
      </c>
      <c r="C233" s="645">
        <f ca="1">IF(BGAOWLeeftijdBereikt_AP="Nee",C254,C264)</f>
        <v>0</v>
      </c>
      <c r="D233" s="2501">
        <f ca="1">IF(BGAOWLeeftijdBereikt_AG="Nee",D254,D264)</f>
        <v>0</v>
      </c>
      <c r="E233" s="1676"/>
      <c r="F233" s="2899" t="s">
        <v>799</v>
      </c>
      <c r="G233" s="2900"/>
      <c r="H233" s="2900"/>
      <c r="I233" s="2900"/>
      <c r="J233" s="2901"/>
      <c r="AF233" s="2267"/>
    </row>
    <row r="234" spans="1:32" x14ac:dyDescent="0.25">
      <c r="A234" s="66">
        <v>122</v>
      </c>
      <c r="B234" s="146" t="s">
        <v>1065</v>
      </c>
      <c r="C234" s="643">
        <f ca="1">IF(BGAOWLeeftijdBereikt_AP="Nee",VLOOKUP(C$233,$C$247:$G$253,5,FALSE),VLOOKUP(C$233,$C$258:$G$263,5,FALSE))</f>
        <v>1220</v>
      </c>
      <c r="D234" s="2532">
        <f ca="1">IF(BGAOWLeeftijdBereikt_AG="Nee",VLOOKUP(D$233,$D$247:$G$253,4,FALSE),VLOOKUP(D$233,$D$258:$G$263,4,FALSE))</f>
        <v>1220</v>
      </c>
      <c r="E234" s="2533"/>
      <c r="F234" s="2889" t="s">
        <v>419</v>
      </c>
      <c r="G234" s="2675"/>
      <c r="H234" s="2675"/>
      <c r="I234" s="2675"/>
      <c r="J234" s="2676"/>
      <c r="AF234" s="2267"/>
    </row>
    <row r="235" spans="1:32" ht="14.45" customHeight="1" x14ac:dyDescent="0.25">
      <c r="A235" s="66">
        <v>123</v>
      </c>
      <c r="B235" s="2530" t="str">
        <f>"Forfaitair woonbudget bij een NBI onder € "&amp;E253&amp;" / € "&amp;E263</f>
        <v>Forfaitair woonbudget bij een NBI onder € 2065 / € 2230</v>
      </c>
      <c r="C235" s="321">
        <f ca="1">IF(OR(AND(BGAOWLeeftijdBereikt_AP="Nee",C234=$G$253),AND(BGAOWLeeftijdBereikt_AP="Ja",C234=$G$263)),"Berekenen",IF(BGAOWLeeftijdBereikt_AP="Nee",VLOOKUP(C$233,$C$247:$I$253,7,FALSE),VLOOKUP(C$233,$C$258:$I$263,7,FALSE)))</f>
        <v>545</v>
      </c>
      <c r="D235" s="2532">
        <f ca="1">IF(OR(AND(BGAOWLeeftijdBereikt_AG="Nee",D234=$G$253),AND(BGAOWLeeftijdBereikt_AG="Ja",D234=$G$263)),"Berekenen",IF(BGAOWLeeftijdBereikt_AG="Nee",VLOOKUP(D$233,$D$247:$I$253,6,FALSE),VLOOKUP(D$233,$D$258:$I$263,6,FALSE)))</f>
        <v>545</v>
      </c>
      <c r="E235" s="2535"/>
      <c r="F235" s="2928" t="str">
        <f>"Woonbudget is bij een NBI onder € "&amp;E253&amp;" / € "&amp;E263&amp;" een vast forfaitair tabelbedrag!"</f>
        <v>Woonbudget is bij een NBI onder € 2065 / € 2230 een vast forfaitair tabelbedrag!</v>
      </c>
      <c r="G235" s="2929"/>
      <c r="H235" s="2929"/>
      <c r="I235" s="2929"/>
      <c r="J235" s="2930"/>
      <c r="AF235" s="2267"/>
    </row>
    <row r="236" spans="1:32" ht="18" thickBot="1" x14ac:dyDescent="0.3">
      <c r="A236" s="30">
        <v>123</v>
      </c>
      <c r="B236" s="2531" t="s">
        <v>402</v>
      </c>
      <c r="C236" s="646">
        <f>IF(OR(AND(BGOEWRekenModule="Nee",E172&gt;0),AND(BGOEWRekenModule="Ja",BGOEWForfaitaireLasten=BGPartner_AP)),$E$236,IF(AND(BGOEWRekenModule="Ja",BGOEWForfaitaireLasten=Keuzelijsten!$R$4),$E$236/2,0))</f>
        <v>0</v>
      </c>
      <c r="D236" s="2502">
        <f>IF(OR(AND(BGOEWRekenModule="Nee",E185&gt;0),AND(BGOEWRekenModule="Ja",BGOEWForfaitaireLasten=BGPartner_AG)),$E$236,IF(AND(BGOEWRekenModule="Ja",BGOEWForfaitaireLasten=Keuzelijsten!$R$4),$E$236/2,0))</f>
        <v>0</v>
      </c>
      <c r="E236" s="2534">
        <v>95</v>
      </c>
      <c r="F236" s="2822" t="s">
        <v>1020</v>
      </c>
      <c r="G236" s="2823"/>
      <c r="H236" s="2823"/>
      <c r="I236" s="2823"/>
      <c r="J236" s="2824"/>
      <c r="AF236" s="2267"/>
    </row>
    <row r="237" spans="1:32" ht="14.45" customHeight="1" x14ac:dyDescent="0.25">
      <c r="E237" s="26"/>
      <c r="AF237" s="2267"/>
    </row>
    <row r="238" spans="1:32" ht="14.45" customHeight="1" thickBot="1" x14ac:dyDescent="0.3">
      <c r="B238" s="763" t="s">
        <v>981</v>
      </c>
      <c r="E238" s="26"/>
      <c r="M238" s="2"/>
      <c r="N238" s="2"/>
      <c r="O238" s="2"/>
      <c r="P238" s="2"/>
      <c r="Q238" s="2"/>
      <c r="R238" s="2"/>
      <c r="AF238" s="2267"/>
    </row>
    <row r="239" spans="1:32" ht="15.75" thickBot="1" x14ac:dyDescent="0.3">
      <c r="A239" s="43" t="s">
        <v>240</v>
      </c>
      <c r="B239" s="145" t="s">
        <v>102</v>
      </c>
      <c r="C239" s="1106" t="str">
        <f>BGPartner_AP</f>
        <v>Alimentatie Plichtig</v>
      </c>
      <c r="D239" s="57" t="str">
        <f>BGPartner_AG</f>
        <v>Alimentatie Gerechtigd</v>
      </c>
      <c r="E239" s="1024" t="s">
        <v>1019</v>
      </c>
      <c r="F239" s="2677" t="s">
        <v>339</v>
      </c>
      <c r="G239" s="2678"/>
      <c r="H239" s="2678"/>
      <c r="I239" s="2678"/>
      <c r="J239" s="2679"/>
      <c r="M239" s="2"/>
      <c r="N239" s="2"/>
      <c r="O239" s="2"/>
      <c r="P239" s="2"/>
      <c r="Q239" s="2"/>
      <c r="R239" s="2"/>
      <c r="AF239" s="2267"/>
    </row>
    <row r="240" spans="1:32" x14ac:dyDescent="0.25">
      <c r="A240" s="64">
        <v>123</v>
      </c>
      <c r="B240" s="840" t="s">
        <v>980</v>
      </c>
      <c r="C240" s="78">
        <v>0</v>
      </c>
      <c r="D240" s="78">
        <v>0</v>
      </c>
      <c r="E240" s="1025">
        <v>0</v>
      </c>
      <c r="F240" s="2825" t="s">
        <v>409</v>
      </c>
      <c r="G240" s="2826"/>
      <c r="H240" s="2826"/>
      <c r="I240" s="2826"/>
      <c r="J240" s="2827"/>
      <c r="AC240" s="18"/>
      <c r="AF240" s="2267"/>
    </row>
    <row r="241" spans="1:32" ht="15" customHeight="1" x14ac:dyDescent="0.25">
      <c r="A241" s="29">
        <v>123</v>
      </c>
      <c r="B241" s="841" t="s">
        <v>983</v>
      </c>
      <c r="C241" s="643">
        <f>E241</f>
        <v>808.06</v>
      </c>
      <c r="D241" s="643">
        <f>E241</f>
        <v>808.06</v>
      </c>
      <c r="E241" s="683">
        <v>808.06</v>
      </c>
      <c r="F241" s="2847" t="s">
        <v>655</v>
      </c>
      <c r="G241" s="2848"/>
      <c r="H241" s="2848"/>
      <c r="I241" s="2848"/>
      <c r="J241" s="2849"/>
      <c r="AF241" s="2267"/>
    </row>
    <row r="242" spans="1:32" ht="15.75" thickBot="1" x14ac:dyDescent="0.3">
      <c r="A242" s="31">
        <v>123</v>
      </c>
      <c r="B242" s="842" t="s">
        <v>984</v>
      </c>
      <c r="C242" s="79">
        <v>0</v>
      </c>
      <c r="D242" s="79">
        <v>0</v>
      </c>
      <c r="E242" s="1012">
        <v>0</v>
      </c>
      <c r="F242" s="1013" t="s">
        <v>434</v>
      </c>
      <c r="G242" s="2819" t="s">
        <v>435</v>
      </c>
      <c r="H242" s="2820"/>
      <c r="I242" s="2820"/>
      <c r="J242" s="2821"/>
      <c r="AF242" s="2267"/>
    </row>
    <row r="243" spans="1:32" ht="16.5" thickBot="1" x14ac:dyDescent="0.3">
      <c r="B243" s="762" t="s">
        <v>575</v>
      </c>
      <c r="C243" s="1236">
        <f>AL94VerzInkomen_AP</f>
        <v>0</v>
      </c>
      <c r="D243" s="1236">
        <f>AL94VerzInkomen_AG</f>
        <v>0</v>
      </c>
      <c r="AF243" s="2267"/>
    </row>
    <row r="244" spans="1:32" x14ac:dyDescent="0.25">
      <c r="AF244" s="2267"/>
    </row>
    <row r="245" spans="1:32" ht="15.75" thickBot="1" x14ac:dyDescent="0.3">
      <c r="A245" s="18">
        <v>122</v>
      </c>
      <c r="B245" s="104" t="s">
        <v>399</v>
      </c>
      <c r="AF245" s="2267"/>
    </row>
    <row r="246" spans="1:32" ht="15.75" thickBot="1" x14ac:dyDescent="0.3">
      <c r="A246" s="9" t="s">
        <v>240</v>
      </c>
      <c r="B246" s="108" t="s">
        <v>401</v>
      </c>
      <c r="C246" s="61" t="str">
        <f>BGPartner_AP</f>
        <v>Alimentatie Plichtig</v>
      </c>
      <c r="D246" s="22" t="str">
        <f>BGPartner_AG</f>
        <v>Alimentatie Gerechtigd</v>
      </c>
      <c r="E246" s="72" t="s">
        <v>400</v>
      </c>
      <c r="F246" s="2508" t="s">
        <v>567</v>
      </c>
      <c r="G246" s="5" t="s">
        <v>1088</v>
      </c>
      <c r="H246" s="263" t="s">
        <v>57</v>
      </c>
      <c r="I246" s="9" t="s">
        <v>1091</v>
      </c>
      <c r="J246" s="1557" t="s">
        <v>690</v>
      </c>
      <c r="AF246" s="2267"/>
    </row>
    <row r="247" spans="1:32" ht="14.45" customHeight="1" x14ac:dyDescent="0.25">
      <c r="A247" s="323">
        <v>1</v>
      </c>
      <c r="B247" s="146" t="str">
        <f t="shared" ref="B247" si="37">"NBI van € "&amp;E247&amp;" tot € "&amp;F247</f>
        <v>NBI van € 0 tot € 1815</v>
      </c>
      <c r="C247" s="324">
        <f ca="1">IF(AND(C$231&gt;=$E247,C$231&lt;$F247),IF(OR(C$231=C$211,C$307=0),0,IF(C$307=1,G247,IF(C$307&gt;1,$H247*2,"???"))),"n.v.t")</f>
        <v>0</v>
      </c>
      <c r="D247" s="324">
        <f ca="1">IF(AND(D$231&gt;=$E247,D$231&lt;$F247),IF(OR(D$231=E$211,D$307=0),0,IF(D$307=1,H247,IF(D$307&gt;1,$H247*2,"???"))),"n.v.t")</f>
        <v>0</v>
      </c>
      <c r="E247" s="642">
        <v>0</v>
      </c>
      <c r="F247" s="2509">
        <v>1815</v>
      </c>
      <c r="G247" s="1058">
        <f>G248</f>
        <v>1220</v>
      </c>
      <c r="H247" s="2509">
        <v>25</v>
      </c>
      <c r="I247" s="2519">
        <f>I248</f>
        <v>545</v>
      </c>
      <c r="J247" s="2515">
        <f>J248</f>
        <v>1765</v>
      </c>
      <c r="AF247" s="2267"/>
    </row>
    <row r="248" spans="1:32" ht="14.45" customHeight="1" x14ac:dyDescent="0.25">
      <c r="A248" s="66">
        <v>2</v>
      </c>
      <c r="B248" s="146" t="str">
        <f t="shared" ref="B248:B252" si="38">"NBI van € "&amp;E248&amp;" tot € "&amp;F248&amp;" - zie tabelbedragen"</f>
        <v>NBI van € 1815 tot € 1865 - zie tabelbedragen</v>
      </c>
      <c r="C248" s="321" t="str">
        <f t="shared" ref="C248:D252" ca="1" si="39">IF(AND(C$231&gt;=$E248,C$231&lt;$F248),$H248,"n.v.t")</f>
        <v>n.v.t</v>
      </c>
      <c r="D248" s="321" t="str">
        <f t="shared" ca="1" si="39"/>
        <v>n.v.t</v>
      </c>
      <c r="E248" s="451">
        <f t="shared" ref="E248:E253" si="40">F247</f>
        <v>1815</v>
      </c>
      <c r="F248" s="2510">
        <v>1865</v>
      </c>
      <c r="G248" s="2507">
        <v>1220</v>
      </c>
      <c r="H248" s="2510">
        <v>51</v>
      </c>
      <c r="I248" s="2520">
        <v>545</v>
      </c>
      <c r="J248" s="2516">
        <v>1765</v>
      </c>
      <c r="AF248" s="2267"/>
    </row>
    <row r="249" spans="1:32" x14ac:dyDescent="0.25">
      <c r="A249" s="66">
        <v>3</v>
      </c>
      <c r="B249" s="146" t="str">
        <f t="shared" si="38"/>
        <v>NBI van € 1865 tot € 1915 - zie tabelbedragen</v>
      </c>
      <c r="C249" s="321" t="str">
        <f t="shared" ca="1" si="39"/>
        <v>n.v.t</v>
      </c>
      <c r="D249" s="321" t="str">
        <f t="shared" ca="1" si="39"/>
        <v>n.v.t</v>
      </c>
      <c r="E249" s="451">
        <f t="shared" si="40"/>
        <v>1865</v>
      </c>
      <c r="F249" s="2510">
        <v>1915</v>
      </c>
      <c r="G249" s="2507">
        <v>1220</v>
      </c>
      <c r="H249" s="2510">
        <v>77</v>
      </c>
      <c r="I249" s="2520">
        <v>560</v>
      </c>
      <c r="J249" s="2516">
        <v>1780</v>
      </c>
      <c r="AF249" s="2267"/>
    </row>
    <row r="250" spans="1:32" x14ac:dyDescent="0.25">
      <c r="A250" s="66">
        <v>4</v>
      </c>
      <c r="B250" s="146" t="str">
        <f t="shared" si="38"/>
        <v>NBI van € 1915 tot € 1965 - zie tabelbedragen</v>
      </c>
      <c r="C250" s="321" t="str">
        <f t="shared" ca="1" si="39"/>
        <v>n.v.t</v>
      </c>
      <c r="D250" s="321" t="str">
        <f t="shared" ca="1" si="39"/>
        <v>n.v.t</v>
      </c>
      <c r="E250" s="451">
        <f t="shared" si="40"/>
        <v>1915</v>
      </c>
      <c r="F250" s="2510">
        <v>1965</v>
      </c>
      <c r="G250" s="2507">
        <v>1220</v>
      </c>
      <c r="H250" s="2510">
        <v>96</v>
      </c>
      <c r="I250" s="2520">
        <v>575</v>
      </c>
      <c r="J250" s="2516">
        <v>1795</v>
      </c>
      <c r="AF250" s="2267"/>
    </row>
    <row r="251" spans="1:32" x14ac:dyDescent="0.25">
      <c r="A251" s="66">
        <v>5</v>
      </c>
      <c r="B251" s="146" t="str">
        <f t="shared" si="38"/>
        <v>NBI van € 1965 tot € 2015 - zie tabelbedragen</v>
      </c>
      <c r="C251" s="321" t="str">
        <f t="shared" ca="1" si="39"/>
        <v>n.v.t</v>
      </c>
      <c r="D251" s="321" t="str">
        <f t="shared" ca="1" si="39"/>
        <v>n.v.t</v>
      </c>
      <c r="E251" s="451">
        <f t="shared" si="40"/>
        <v>1965</v>
      </c>
      <c r="F251" s="2510">
        <v>2015</v>
      </c>
      <c r="G251" s="2507">
        <v>1220</v>
      </c>
      <c r="H251" s="2510">
        <v>109</v>
      </c>
      <c r="I251" s="2520">
        <v>590</v>
      </c>
      <c r="J251" s="2516">
        <v>1810</v>
      </c>
      <c r="AF251" s="2267"/>
    </row>
    <row r="252" spans="1:32" ht="15.75" thickBot="1" x14ac:dyDescent="0.3">
      <c r="A252" s="166">
        <v>6</v>
      </c>
      <c r="B252" s="160" t="str">
        <f t="shared" si="38"/>
        <v>NBI van € 2015 tot € 2065 - zie tabelbedragen</v>
      </c>
      <c r="C252" s="322" t="str">
        <f t="shared" ca="1" si="39"/>
        <v>n.v.t</v>
      </c>
      <c r="D252" s="322" t="str">
        <f t="shared" ca="1" si="39"/>
        <v>n.v.t</v>
      </c>
      <c r="E252" s="2511">
        <f t="shared" si="40"/>
        <v>2015</v>
      </c>
      <c r="F252" s="2512">
        <v>2065</v>
      </c>
      <c r="G252" s="2513">
        <v>1245</v>
      </c>
      <c r="H252" s="2512">
        <v>116</v>
      </c>
      <c r="I252" s="2521">
        <v>605</v>
      </c>
      <c r="J252" s="2517">
        <v>1850</v>
      </c>
      <c r="AF252" s="2267"/>
    </row>
    <row r="253" spans="1:32" ht="14.45" customHeight="1" thickBot="1" x14ac:dyDescent="0.3">
      <c r="A253" s="161">
        <v>7</v>
      </c>
      <c r="B253" s="1916" t="str">
        <f>"NBI vanaf € "&amp;E253&amp;": "&amp;I253*100&amp;"% van (NBI - ("&amp;J253&amp;" x NBI + "&amp;G253&amp;")"</f>
        <v>NBI vanaf € 2065: 70% van (NBI - (0,3 x NBI + 1270)</v>
      </c>
      <c r="C253" s="1695">
        <v>0</v>
      </c>
      <c r="D253" s="1695">
        <v>0</v>
      </c>
      <c r="E253" s="654">
        <f t="shared" si="40"/>
        <v>2065</v>
      </c>
      <c r="F253" s="2514">
        <v>0</v>
      </c>
      <c r="G253" s="2499">
        <v>1270</v>
      </c>
      <c r="H253" s="2514">
        <v>123</v>
      </c>
      <c r="I253" s="2522">
        <v>0.7</v>
      </c>
      <c r="J253" s="2518">
        <v>0.3</v>
      </c>
      <c r="AF253" s="2267"/>
    </row>
    <row r="254" spans="1:32" ht="15.75" thickBot="1" x14ac:dyDescent="0.3">
      <c r="A254" s="165">
        <v>122</v>
      </c>
      <c r="B254" s="1089" t="s">
        <v>403</v>
      </c>
      <c r="C254" s="56">
        <f ca="1">IF(BGAOWLeeftijdBereikt_AP="Ja","Zie AOW-tabel",SUM(C247:C253))</f>
        <v>0</v>
      </c>
      <c r="D254" s="56">
        <f ca="1">IF(BGAOWLeeftijdBereikt_AG="Ja","Zie AOW-tabel",SUM(D247:D253))</f>
        <v>0</v>
      </c>
      <c r="F254" s="26"/>
      <c r="G254" s="26"/>
      <c r="H254" s="26"/>
      <c r="I254" s="2525" t="s">
        <v>78</v>
      </c>
      <c r="J254" s="2524" t="s">
        <v>247</v>
      </c>
      <c r="AF254" s="2267"/>
    </row>
    <row r="255" spans="1:32" ht="16.899999999999999" customHeight="1" x14ac:dyDescent="0.25">
      <c r="F255" s="26"/>
      <c r="G255" s="686"/>
      <c r="H255" s="26"/>
      <c r="I255" s="26"/>
      <c r="J255" s="26"/>
      <c r="AF255" s="2267"/>
    </row>
    <row r="256" spans="1:32" ht="15.75" thickBot="1" x14ac:dyDescent="0.3">
      <c r="A256" s="18">
        <v>122</v>
      </c>
      <c r="B256" s="1088" t="s">
        <v>404</v>
      </c>
      <c r="F256" s="26"/>
      <c r="G256" s="26"/>
      <c r="H256" s="26"/>
      <c r="I256" s="26"/>
      <c r="J256" s="26"/>
      <c r="AF256" s="2267"/>
    </row>
    <row r="257" spans="1:32" ht="15.75" thickBot="1" x14ac:dyDescent="0.3">
      <c r="A257" s="9" t="s">
        <v>240</v>
      </c>
      <c r="B257" s="108" t="s">
        <v>401</v>
      </c>
      <c r="C257" s="61" t="str">
        <f>BGPartner_AP</f>
        <v>Alimentatie Plichtig</v>
      </c>
      <c r="D257" s="22" t="str">
        <f>BGPartner_AG</f>
        <v>Alimentatie Gerechtigd</v>
      </c>
      <c r="E257" s="72" t="s">
        <v>400</v>
      </c>
      <c r="F257" s="2504" t="s">
        <v>567</v>
      </c>
      <c r="G257" s="5" t="s">
        <v>1088</v>
      </c>
      <c r="H257" s="2523" t="s">
        <v>57</v>
      </c>
      <c r="I257" s="9" t="s">
        <v>1091</v>
      </c>
      <c r="J257" s="1557" t="s">
        <v>690</v>
      </c>
      <c r="AF257" s="2267"/>
    </row>
    <row r="258" spans="1:32" x14ac:dyDescent="0.25">
      <c r="A258" s="323">
        <v>1</v>
      </c>
      <c r="B258" s="146" t="str">
        <f t="shared" ref="B258" si="41">"NBI van € "&amp;E258&amp;" tot € "&amp;F258</f>
        <v>NBI van € 0 tot € 2030</v>
      </c>
      <c r="C258" s="324">
        <f ca="1">IF(AND(C$231&gt;=$E258,C$231&lt;$F258),IF(OR(C$231=C$211,C$307=0),0,IF(C$307=1,G258,IF(C$307&gt;1,$H258*2,"???"))),"n.v.t")</f>
        <v>0</v>
      </c>
      <c r="D258" s="324">
        <f ca="1">IF(AND(D$231&gt;=$E258,D$231&lt;$F258),IF(OR(D$231=E$211,D$307=0),0,IF(D$307=1,H258,IF(D$307&gt;1,$H258*2,"???"))),"n.v.t")</f>
        <v>0</v>
      </c>
      <c r="E258" s="641">
        <v>0</v>
      </c>
      <c r="F258" s="2505">
        <v>2030</v>
      </c>
      <c r="G258" s="1058">
        <f>G259</f>
        <v>1365</v>
      </c>
      <c r="H258" s="2505">
        <v>25</v>
      </c>
      <c r="I258" s="2519">
        <f>I259</f>
        <v>609</v>
      </c>
      <c r="J258" s="2515">
        <f>J259</f>
        <v>1974</v>
      </c>
      <c r="AF258" s="2267"/>
    </row>
    <row r="259" spans="1:32" x14ac:dyDescent="0.25">
      <c r="A259" s="66">
        <v>2</v>
      </c>
      <c r="B259" s="146" t="str">
        <f>"NBI van € "&amp;E259&amp;" tot € "&amp;F259&amp;" - zie tabelbedragen"</f>
        <v>NBI van € 2030 tot € 2080 - zie tabelbedragen</v>
      </c>
      <c r="C259" s="321" t="str">
        <f t="shared" ref="C259:D262" ca="1" si="42">IF(AND(C$231&gt;=$E259,C$231&lt;$F259),$H259,"n.v.t")</f>
        <v>n.v.t</v>
      </c>
      <c r="D259" s="321" t="str">
        <f t="shared" ca="1" si="42"/>
        <v>n.v.t</v>
      </c>
      <c r="E259" s="450">
        <f>F258</f>
        <v>2030</v>
      </c>
      <c r="F259" s="2506">
        <v>2080</v>
      </c>
      <c r="G259" s="2507">
        <v>1365</v>
      </c>
      <c r="H259" s="2506">
        <v>50</v>
      </c>
      <c r="I259" s="2520">
        <v>609</v>
      </c>
      <c r="J259" s="2516">
        <v>1974</v>
      </c>
      <c r="M259" s="2"/>
      <c r="P259" s="2"/>
      <c r="Q259" s="2"/>
      <c r="R259" s="2"/>
      <c r="AF259" s="2267"/>
    </row>
    <row r="260" spans="1:32" x14ac:dyDescent="0.25">
      <c r="A260" s="66">
        <v>3</v>
      </c>
      <c r="B260" s="146" t="str">
        <f t="shared" ref="B260:B262" si="43">"NBI van € "&amp;E260&amp;" tot € "&amp;F260&amp;" - zie tabelbedragen"</f>
        <v>NBI van € 2080 tot € 2130 - zie tabelbedragen</v>
      </c>
      <c r="C260" s="321" t="str">
        <f t="shared" ca="1" si="42"/>
        <v>n.v.t</v>
      </c>
      <c r="D260" s="321" t="str">
        <f t="shared" ca="1" si="42"/>
        <v>n.v.t</v>
      </c>
      <c r="E260" s="450">
        <f>F259</f>
        <v>2080</v>
      </c>
      <c r="F260" s="2506">
        <v>2130</v>
      </c>
      <c r="G260" s="2507">
        <v>1365</v>
      </c>
      <c r="H260" s="2506">
        <v>73</v>
      </c>
      <c r="I260" s="2520">
        <v>624</v>
      </c>
      <c r="J260" s="2516">
        <v>1989</v>
      </c>
      <c r="M260" s="2"/>
      <c r="P260" s="2"/>
      <c r="Q260" s="2"/>
      <c r="R260" s="2"/>
      <c r="AF260" s="2267"/>
    </row>
    <row r="261" spans="1:32" x14ac:dyDescent="0.25">
      <c r="A261" s="66">
        <v>4</v>
      </c>
      <c r="B261" s="146" t="str">
        <f t="shared" si="43"/>
        <v>NBI van € 2130 tot € 2180 - zie tabelbedragen</v>
      </c>
      <c r="C261" s="321" t="str">
        <f t="shared" ca="1" si="42"/>
        <v>n.v.t</v>
      </c>
      <c r="D261" s="321" t="str">
        <f t="shared" ca="1" si="42"/>
        <v>n.v.t</v>
      </c>
      <c r="E261" s="450">
        <f>F260</f>
        <v>2130</v>
      </c>
      <c r="F261" s="2506">
        <v>2180</v>
      </c>
      <c r="G261" s="2507">
        <v>1365</v>
      </c>
      <c r="H261" s="2506">
        <v>88</v>
      </c>
      <c r="I261" s="2520">
        <v>639</v>
      </c>
      <c r="J261" s="2516">
        <v>2004</v>
      </c>
      <c r="M261" s="2"/>
      <c r="P261" s="2"/>
      <c r="Q261" s="2"/>
      <c r="R261" s="2"/>
      <c r="AF261" s="2267"/>
    </row>
    <row r="262" spans="1:32" ht="15" customHeight="1" thickBot="1" x14ac:dyDescent="0.3">
      <c r="A262" s="166">
        <v>5</v>
      </c>
      <c r="B262" s="160" t="str">
        <f t="shared" si="43"/>
        <v>NBI van € 2180 tot € 2230 - zie tabelbedragen</v>
      </c>
      <c r="C262" s="322" t="str">
        <f t="shared" ca="1" si="42"/>
        <v>n.v.t</v>
      </c>
      <c r="D262" s="322" t="str">
        <f t="shared" ca="1" si="42"/>
        <v>n.v.t</v>
      </c>
      <c r="E262" s="2526">
        <f>F261</f>
        <v>2180</v>
      </c>
      <c r="F262" s="2527">
        <v>2230</v>
      </c>
      <c r="G262" s="2513">
        <v>1390</v>
      </c>
      <c r="H262" s="2527">
        <v>95</v>
      </c>
      <c r="I262" s="2521">
        <v>654</v>
      </c>
      <c r="J262" s="2517">
        <v>2044</v>
      </c>
      <c r="M262" s="2"/>
      <c r="P262" s="2"/>
      <c r="Q262" s="2"/>
      <c r="R262" s="2"/>
      <c r="AF262" s="2267"/>
    </row>
    <row r="263" spans="1:32" ht="15.75" thickBot="1" x14ac:dyDescent="0.3">
      <c r="A263" s="161">
        <v>6</v>
      </c>
      <c r="B263" s="1916" t="str">
        <f>"NBI vanaf € "&amp;E263&amp;": "&amp;I263*100&amp;"% van (NBI - ("&amp;J263&amp;" x NBI + "&amp;G263&amp;")"</f>
        <v>NBI vanaf € 2230: 70% van (NBI - (0,3 x NBI + 1415)</v>
      </c>
      <c r="C263" s="1695">
        <v>0</v>
      </c>
      <c r="D263" s="1695">
        <v>0</v>
      </c>
      <c r="E263" s="2528">
        <f>F262</f>
        <v>2230</v>
      </c>
      <c r="F263" s="2529"/>
      <c r="G263" s="2499">
        <v>1415</v>
      </c>
      <c r="H263" s="2529">
        <v>102</v>
      </c>
      <c r="I263" s="2522">
        <v>0.7</v>
      </c>
      <c r="J263" s="2518">
        <v>0.3</v>
      </c>
      <c r="M263" s="2"/>
      <c r="P263" s="2"/>
      <c r="Q263" s="2"/>
      <c r="R263" s="2"/>
      <c r="AF263" s="2267"/>
    </row>
    <row r="264" spans="1:32" ht="15.75" thickBot="1" x14ac:dyDescent="0.3">
      <c r="A264" s="165">
        <v>122</v>
      </c>
      <c r="B264" s="1089" t="s">
        <v>403</v>
      </c>
      <c r="C264" s="56" t="str">
        <f>IF(BGAOWLeeftijdBereikt_AP="Nee","Zie Werk-tabel",SUM(C257:C263))</f>
        <v>Zie Werk-tabel</v>
      </c>
      <c r="D264" s="56" t="str">
        <f>IF(BGAOWLeeftijdBereikt_AG="Nee","Zie Werk-tabel",SUM(D257:D263))</f>
        <v>Zie Werk-tabel</v>
      </c>
      <c r="I264" s="2525" t="s">
        <v>78</v>
      </c>
      <c r="J264" s="2524" t="s">
        <v>247</v>
      </c>
      <c r="M264" s="2"/>
      <c r="P264" s="2"/>
      <c r="Q264" s="2"/>
      <c r="R264" s="2"/>
      <c r="AF264" s="2267"/>
    </row>
    <row r="265" spans="1:32" x14ac:dyDescent="0.25">
      <c r="M265" s="2"/>
      <c r="P265" s="2"/>
      <c r="Q265" s="2"/>
      <c r="R265" s="2"/>
      <c r="AF265" s="2267"/>
    </row>
    <row r="266" spans="1:32" ht="15.75" thickBot="1" x14ac:dyDescent="0.3">
      <c r="B266" s="426" t="s">
        <v>1067</v>
      </c>
      <c r="C266" s="2"/>
      <c r="D266" s="2"/>
      <c r="M266" s="2"/>
      <c r="P266" s="2"/>
      <c r="Q266" s="2"/>
      <c r="R266" s="2"/>
      <c r="AF266" s="2267"/>
    </row>
    <row r="267" spans="1:32" ht="15.75" thickBot="1" x14ac:dyDescent="0.3">
      <c r="A267" s="9" t="s">
        <v>240</v>
      </c>
      <c r="B267" s="105" t="s">
        <v>102</v>
      </c>
      <c r="C267" s="22" t="str">
        <f>BGPartner_AP</f>
        <v>Alimentatie Plichtig</v>
      </c>
      <c r="D267" s="68" t="str">
        <f>BGPartner_AG</f>
        <v>Alimentatie Gerechtigd</v>
      </c>
      <c r="E267" s="2677" t="s">
        <v>208</v>
      </c>
      <c r="F267" s="2678"/>
      <c r="G267" s="2678"/>
      <c r="H267" s="2678"/>
      <c r="I267" s="2678"/>
      <c r="J267" s="2679"/>
      <c r="M267" s="2"/>
      <c r="N267" s="2"/>
      <c r="O267" s="2"/>
      <c r="P267" s="2"/>
      <c r="Q267" s="2"/>
      <c r="R267" s="2"/>
      <c r="AF267" s="2267"/>
    </row>
    <row r="268" spans="1:32" x14ac:dyDescent="0.25">
      <c r="A268" s="28" t="s">
        <v>304</v>
      </c>
      <c r="B268" s="45" t="s">
        <v>992</v>
      </c>
      <c r="C268" s="2451">
        <v>0</v>
      </c>
      <c r="D268" s="2452">
        <v>0</v>
      </c>
      <c r="E268" s="2735" t="s">
        <v>1021</v>
      </c>
      <c r="F268" s="2736"/>
      <c r="G268" s="2736"/>
      <c r="H268" s="2736"/>
      <c r="I268" s="2736"/>
      <c r="J268" s="2737"/>
      <c r="M268" s="2"/>
      <c r="N268" s="2"/>
      <c r="O268" s="2"/>
      <c r="P268" s="2"/>
      <c r="Q268" s="2"/>
      <c r="R268" s="2"/>
      <c r="AF268" s="2267"/>
    </row>
    <row r="269" spans="1:32" ht="15.75" thickBot="1" x14ac:dyDescent="0.3">
      <c r="A269" s="166" t="s">
        <v>305</v>
      </c>
      <c r="B269" s="2257" t="s">
        <v>993</v>
      </c>
      <c r="C269" s="2453">
        <v>0</v>
      </c>
      <c r="D269" s="2454">
        <v>0</v>
      </c>
      <c r="E269" s="2945" t="s">
        <v>1022</v>
      </c>
      <c r="F269" s="2946"/>
      <c r="G269" s="2946"/>
      <c r="H269" s="2946"/>
      <c r="I269" s="2946"/>
      <c r="J269" s="2947"/>
      <c r="M269" s="2"/>
      <c r="N269" s="2"/>
      <c r="O269" s="2"/>
      <c r="P269" s="2"/>
      <c r="Q269" s="2"/>
      <c r="R269" s="2"/>
      <c r="AF269" s="2267"/>
    </row>
    <row r="270" spans="1:32" x14ac:dyDescent="0.25">
      <c r="A270" s="28" t="s">
        <v>306</v>
      </c>
      <c r="B270" s="765" t="str">
        <f>"Wettelijk eigen risico in "&amp;BGJaarBerekening&amp;" per jaar"</f>
        <v>Wettelijk eigen risico in 2024 per jaar</v>
      </c>
      <c r="C270" s="2259">
        <v>385</v>
      </c>
      <c r="D270" s="1025">
        <v>385</v>
      </c>
      <c r="E270" s="2863" t="s">
        <v>146</v>
      </c>
      <c r="F270" s="2864"/>
      <c r="G270" s="2864"/>
      <c r="H270" s="2864"/>
      <c r="I270" s="2864"/>
      <c r="J270" s="2865"/>
      <c r="M270" s="2"/>
      <c r="N270" s="2"/>
      <c r="O270" s="2"/>
      <c r="P270" s="2"/>
      <c r="Q270" s="2"/>
      <c r="R270" s="2"/>
      <c r="AF270" s="2267"/>
    </row>
    <row r="271" spans="1:32" ht="15.75" thickBot="1" x14ac:dyDescent="0.3">
      <c r="A271" s="30" t="s">
        <v>306</v>
      </c>
      <c r="B271" s="2260" t="str">
        <f>"Wordt in "&amp;BGJaarBerekening&amp;" het wettelijk Eigen Risico volledig betaald?"</f>
        <v>Wordt in 2024 het wettelijk Eigen Risico volledig betaald?</v>
      </c>
      <c r="C271" s="2455" t="s">
        <v>107</v>
      </c>
      <c r="D271" s="2456" t="s">
        <v>107</v>
      </c>
      <c r="E271" s="2805" t="s">
        <v>422</v>
      </c>
      <c r="F271" s="2806"/>
      <c r="G271" s="2806"/>
      <c r="H271" s="2806"/>
      <c r="I271" s="2806"/>
      <c r="J271" s="2807"/>
      <c r="M271" s="2"/>
      <c r="N271" s="2"/>
      <c r="O271" s="2"/>
      <c r="P271" s="2"/>
      <c r="Q271" s="2"/>
      <c r="R271" s="2"/>
      <c r="AF271" s="2267"/>
    </row>
    <row r="272" spans="1:32" x14ac:dyDescent="0.25">
      <c r="A272" s="67" t="s">
        <v>730</v>
      </c>
      <c r="B272" s="2258" t="s">
        <v>991</v>
      </c>
      <c r="C272" s="2457">
        <v>0</v>
      </c>
      <c r="D272" s="2458">
        <v>0</v>
      </c>
      <c r="E272" s="2873" t="s">
        <v>982</v>
      </c>
      <c r="F272" s="2874"/>
      <c r="G272" s="2874"/>
      <c r="H272" s="2874"/>
      <c r="I272" s="2874"/>
      <c r="J272" s="2875"/>
      <c r="M272" s="2"/>
      <c r="N272" s="2"/>
      <c r="O272" s="2"/>
      <c r="P272" s="2"/>
      <c r="Q272" s="2"/>
      <c r="R272" s="2"/>
      <c r="AF272" s="2267"/>
    </row>
    <row r="273" spans="1:32" x14ac:dyDescent="0.25">
      <c r="A273" s="66" t="s">
        <v>731</v>
      </c>
      <c r="B273" s="46" t="s">
        <v>990</v>
      </c>
      <c r="C273" s="2459">
        <v>0</v>
      </c>
      <c r="D273" s="2460">
        <v>0</v>
      </c>
      <c r="E273" s="2933" t="s">
        <v>989</v>
      </c>
      <c r="F273" s="2934"/>
      <c r="G273" s="2934"/>
      <c r="H273" s="2934"/>
      <c r="I273" s="2934"/>
      <c r="J273" s="2935"/>
      <c r="L273" s="18"/>
      <c r="M273" s="52"/>
      <c r="N273" s="2"/>
      <c r="O273" s="2"/>
      <c r="P273" s="2"/>
      <c r="Q273" s="2"/>
      <c r="R273" s="2"/>
      <c r="AF273" s="2267"/>
    </row>
    <row r="274" spans="1:32" ht="15" customHeight="1" x14ac:dyDescent="0.25">
      <c r="A274" s="66">
        <v>124</v>
      </c>
      <c r="B274" s="1099" t="s">
        <v>996</v>
      </c>
      <c r="C274" s="2497">
        <v>3</v>
      </c>
      <c r="D274" s="2498">
        <v>3</v>
      </c>
      <c r="E274" s="2738" t="s">
        <v>423</v>
      </c>
      <c r="F274" s="2739"/>
      <c r="G274" s="2739"/>
      <c r="H274" s="2739"/>
      <c r="I274" s="2739"/>
      <c r="J274" s="2740"/>
      <c r="L274" s="18"/>
      <c r="M274" s="52"/>
      <c r="N274" s="2"/>
      <c r="O274" s="2"/>
      <c r="P274" s="2"/>
      <c r="Q274" s="2"/>
      <c r="R274" s="2"/>
      <c r="AF274" s="2267"/>
    </row>
    <row r="275" spans="1:32" ht="15" customHeight="1" thickBot="1" x14ac:dyDescent="0.3">
      <c r="A275" s="30"/>
      <c r="B275" s="761" t="str">
        <f>"Te ontvangen zorgtoeslag in "&amp;BGJaarBerekening&amp;"/maand"</f>
        <v>Te ontvangen zorgtoeslag in 2024/maand</v>
      </c>
      <c r="C275" s="2461">
        <v>0</v>
      </c>
      <c r="D275" s="2462">
        <v>0</v>
      </c>
      <c r="E275" s="425" t="s">
        <v>1068</v>
      </c>
      <c r="F275" s="2931" t="s">
        <v>433</v>
      </c>
      <c r="G275" s="2931"/>
      <c r="H275" s="2931"/>
      <c r="I275" s="2931"/>
      <c r="J275" s="2932"/>
      <c r="M275" s="2"/>
      <c r="N275" s="2"/>
      <c r="O275" s="2"/>
      <c r="P275" s="2"/>
      <c r="Q275" s="2"/>
      <c r="R275" s="2"/>
      <c r="AF275" s="2267"/>
    </row>
    <row r="276" spans="1:32" ht="16.5" thickBot="1" x14ac:dyDescent="0.3">
      <c r="B276" s="762" t="s">
        <v>576</v>
      </c>
      <c r="C276" s="1246">
        <f>AL94VerzInkomen_AP</f>
        <v>0</v>
      </c>
      <c r="D276" s="1246">
        <f>AL94VerzInkomen_AG</f>
        <v>0</v>
      </c>
      <c r="AF276" s="2267"/>
    </row>
    <row r="277" spans="1:32" ht="15.75" thickBot="1" x14ac:dyDescent="0.3">
      <c r="A277" s="2"/>
      <c r="B277" s="2"/>
      <c r="C277" s="2"/>
      <c r="D277" s="2"/>
      <c r="AF277" s="2267"/>
    </row>
    <row r="278" spans="1:32" ht="16.5" thickBot="1" x14ac:dyDescent="0.3">
      <c r="B278" s="661" t="s">
        <v>577</v>
      </c>
      <c r="C278" s="2"/>
      <c r="D278" s="9" t="s">
        <v>54</v>
      </c>
      <c r="AF278" s="2267"/>
    </row>
    <row r="279" spans="1:32" ht="15.75" thickBot="1" x14ac:dyDescent="0.3">
      <c r="B279" s="764" t="s">
        <v>271</v>
      </c>
      <c r="C279" s="57" t="str">
        <f>BGPartner_AP</f>
        <v>Alimentatie Plichtig</v>
      </c>
      <c r="D279" s="57" t="str">
        <f>BGPartner_AG</f>
        <v>Alimentatie Gerechtigd</v>
      </c>
      <c r="E279" s="1108" t="s">
        <v>55</v>
      </c>
      <c r="AF279" s="2267"/>
    </row>
    <row r="280" spans="1:32" x14ac:dyDescent="0.25">
      <c r="B280" s="765" t="str">
        <f>CONCATENATE("Oppaskosten kinderen in ",C20," per maand")</f>
        <v>Oppaskosten kinderen in  per maand</v>
      </c>
      <c r="C280" s="78">
        <v>0</v>
      </c>
      <c r="D280" s="78">
        <v>0</v>
      </c>
      <c r="E280" s="50">
        <f>SUM(C280:D280)</f>
        <v>0</v>
      </c>
      <c r="F280" s="2854" t="s">
        <v>643</v>
      </c>
      <c r="G280" s="2855"/>
      <c r="H280" s="2855"/>
      <c r="I280" s="2856"/>
      <c r="J280" s="33"/>
      <c r="AF280" s="2267"/>
    </row>
    <row r="281" spans="1:32" ht="15.75" thickBot="1" x14ac:dyDescent="0.3">
      <c r="B281" s="766" t="str">
        <f>CONCATENATE("Het in ",C20," ontvangen KGB per maand")</f>
        <v>Het in  ontvangen KGB per maand</v>
      </c>
      <c r="C281" s="79">
        <v>0</v>
      </c>
      <c r="D281" s="79">
        <v>0</v>
      </c>
      <c r="E281" s="767">
        <f>SUM(C281:D281)</f>
        <v>0</v>
      </c>
      <c r="F281" s="2857"/>
      <c r="G281" s="2858"/>
      <c r="H281" s="2858"/>
      <c r="I281" s="2859"/>
      <c r="AF281" s="2267"/>
    </row>
    <row r="282" spans="1:32" ht="15.75" thickBot="1" x14ac:dyDescent="0.3">
      <c r="B282" s="769" t="s">
        <v>1023</v>
      </c>
      <c r="C282" s="768">
        <f>AL59Arbeidsinkomen_AP+AL59Arbeidsinkomen_AG+AL60Arbeidsinkomen_AP+AL60Arbeidsinkomen_AG</f>
        <v>0</v>
      </c>
      <c r="D282" s="770"/>
      <c r="E282" s="2850" t="s">
        <v>579</v>
      </c>
      <c r="F282" s="2851"/>
      <c r="G282" s="2851"/>
      <c r="H282" s="2851"/>
      <c r="I282" s="2852"/>
      <c r="AF282" s="2267"/>
    </row>
    <row r="283" spans="1:32" ht="15.75" thickBot="1" x14ac:dyDescent="0.3">
      <c r="A283" s="2"/>
      <c r="B283" s="2"/>
      <c r="C283" s="2"/>
      <c r="D283" s="2"/>
      <c r="AF283" s="2267"/>
    </row>
    <row r="284" spans="1:32" ht="16.5" thickBot="1" x14ac:dyDescent="0.3">
      <c r="A284" s="2"/>
      <c r="B284" s="661" t="s">
        <v>578</v>
      </c>
      <c r="C284" s="2"/>
      <c r="D284" s="9" t="s">
        <v>54</v>
      </c>
      <c r="AF284" s="2267"/>
    </row>
    <row r="285" spans="1:32" ht="15.75" thickBot="1" x14ac:dyDescent="0.3">
      <c r="A285" s="615"/>
      <c r="B285" s="764" t="s">
        <v>269</v>
      </c>
      <c r="C285" s="22" t="str">
        <f>BGPartner_AP</f>
        <v>Alimentatie Plichtig</v>
      </c>
      <c r="D285" s="22" t="str">
        <f>BGPartner_AG</f>
        <v>Alimentatie Gerechtigd</v>
      </c>
      <c r="E285" s="134" t="s">
        <v>55</v>
      </c>
      <c r="AF285" s="2267"/>
    </row>
    <row r="286" spans="1:32" ht="15" customHeight="1" thickBot="1" x14ac:dyDescent="0.3">
      <c r="A286" s="559" t="s">
        <v>39</v>
      </c>
      <c r="B286" s="1328" t="str">
        <f>CONCATENATE("Na scheiding in ",C17," te ontvangen KGB per MAAND")</f>
        <v>Na scheiding in 2024 te ontvangen KGB per MAAND</v>
      </c>
      <c r="C286" s="135">
        <v>0</v>
      </c>
      <c r="D286" s="135">
        <v>0</v>
      </c>
      <c r="E286" s="465">
        <f>SUM(C286:D286)</f>
        <v>0</v>
      </c>
      <c r="F286" s="2868" t="s">
        <v>644</v>
      </c>
      <c r="G286" s="2869"/>
      <c r="H286" s="2869"/>
      <c r="I286" s="2870"/>
      <c r="AF286" s="2267"/>
    </row>
    <row r="287" spans="1:32" ht="15.75" thickBot="1" x14ac:dyDescent="0.3">
      <c r="B287" s="1329" t="s">
        <v>863</v>
      </c>
      <c r="C287" s="1330">
        <f>Q79</f>
        <v>0</v>
      </c>
      <c r="D287" s="1330">
        <f>R79</f>
        <v>0</v>
      </c>
      <c r="E287" s="2885" t="s">
        <v>579</v>
      </c>
      <c r="F287" s="2886"/>
      <c r="G287" s="2886"/>
      <c r="H287" s="2886"/>
      <c r="I287" s="2887"/>
      <c r="AF287" s="2267"/>
    </row>
    <row r="288" spans="1:32" ht="15.75" thickBot="1" x14ac:dyDescent="0.3">
      <c r="B288" s="666" t="s">
        <v>910</v>
      </c>
      <c r="C288" s="1331" t="s">
        <v>107</v>
      </c>
      <c r="D288" s="2853" t="str">
        <f>"Betreft het KGB dat NA de scheiding wordt ontvangen! Bij Ja stijgt de draagkracht van "&amp;BGPartner_AG&amp;"."</f>
        <v>Betreft het KGB dat NA de scheiding wordt ontvangen! Bij Ja stijgt de draagkracht van Alimentatie Gerechtigd.</v>
      </c>
      <c r="E288" s="2763"/>
      <c r="F288" s="2763"/>
      <c r="G288" s="2763"/>
      <c r="H288" s="2763"/>
      <c r="I288" s="2804"/>
      <c r="AF288" s="2267"/>
    </row>
    <row r="289" spans="1:32" s="942" customFormat="1" ht="15.75" customHeight="1" thickBot="1" x14ac:dyDescent="0.3">
      <c r="A289" s="18"/>
      <c r="B289" s="1333" t="s">
        <v>767</v>
      </c>
      <c r="C289" s="1332" t="s">
        <v>106</v>
      </c>
      <c r="D289" s="2733" t="s">
        <v>458</v>
      </c>
      <c r="E289" s="2733"/>
      <c r="F289" s="2733"/>
      <c r="G289" s="2733"/>
      <c r="H289" s="2733"/>
      <c r="I289" s="2734"/>
      <c r="J289" s="2"/>
      <c r="L289" s="2"/>
      <c r="M289" s="18"/>
      <c r="N289" s="18"/>
      <c r="O289" s="18"/>
      <c r="P289" s="18"/>
      <c r="Q289" s="18"/>
      <c r="R289" s="18"/>
      <c r="S289" s="2"/>
      <c r="T289" s="2"/>
      <c r="U289" s="2"/>
      <c r="V289" s="2"/>
      <c r="W289" s="2"/>
      <c r="X289" s="2"/>
      <c r="Y289" s="2"/>
      <c r="Z289" s="2"/>
      <c r="AA289" s="2"/>
      <c r="AB289" s="2"/>
      <c r="AC289" s="2"/>
      <c r="AD289" s="2"/>
      <c r="AE289" s="2"/>
      <c r="AF289" s="2268"/>
    </row>
    <row r="290" spans="1:32" ht="15.75" thickBot="1" x14ac:dyDescent="0.3">
      <c r="B290" s="2"/>
      <c r="C290" s="2"/>
      <c r="D290" s="999"/>
      <c r="H290" s="155"/>
      <c r="I290" s="155"/>
      <c r="L290" s="942"/>
      <c r="M290" s="942"/>
      <c r="N290" s="942"/>
      <c r="O290" s="942"/>
      <c r="P290" s="942"/>
      <c r="Q290" s="942"/>
      <c r="R290" s="942"/>
      <c r="S290" s="942"/>
      <c r="T290" s="942"/>
      <c r="U290" s="942"/>
      <c r="V290" s="942"/>
      <c r="W290" s="942"/>
      <c r="X290" s="942"/>
      <c r="Y290" s="942"/>
      <c r="Z290" s="942"/>
      <c r="AA290" s="942"/>
      <c r="AB290" s="942"/>
      <c r="AC290" s="942"/>
      <c r="AD290" s="942"/>
      <c r="AE290" s="942"/>
      <c r="AF290" s="2267"/>
    </row>
    <row r="291" spans="1:32" ht="15.75" thickBot="1" x14ac:dyDescent="0.3">
      <c r="B291" s="2940" t="s">
        <v>1043</v>
      </c>
      <c r="C291" s="2941"/>
      <c r="D291" s="2668"/>
      <c r="E291" s="838" t="s">
        <v>107</v>
      </c>
      <c r="F291" s="2" t="s">
        <v>1042</v>
      </c>
      <c r="H291" s="2659" t="s">
        <v>640</v>
      </c>
      <c r="I291" s="2866"/>
      <c r="J291" s="2867"/>
      <c r="AF291" s="2267"/>
    </row>
    <row r="292" spans="1:32" ht="15.75" thickBot="1" x14ac:dyDescent="0.3">
      <c r="H292" s="2792" t="s">
        <v>650</v>
      </c>
      <c r="I292" s="2672" t="s">
        <v>1040</v>
      </c>
      <c r="J292" s="2793" t="s">
        <v>1041</v>
      </c>
      <c r="L292" s="2953" t="s">
        <v>652</v>
      </c>
      <c r="M292" s="2953"/>
      <c r="N292" s="2953"/>
      <c r="O292" s="2"/>
      <c r="P292" s="2"/>
      <c r="R292" s="2"/>
      <c r="AF292" s="2267"/>
    </row>
    <row r="293" spans="1:32" ht="15.75" thickBot="1" x14ac:dyDescent="0.3">
      <c r="B293" s="104" t="s">
        <v>444</v>
      </c>
      <c r="C293" s="2943" t="s">
        <v>646</v>
      </c>
      <c r="D293" s="2944"/>
      <c r="F293" s="2672" t="s">
        <v>270</v>
      </c>
      <c r="G293" s="125"/>
      <c r="H293" s="2871"/>
      <c r="I293" s="2671"/>
      <c r="J293" s="2872"/>
      <c r="L293" s="18"/>
      <c r="M293" s="104"/>
      <c r="N293" s="2943" t="s">
        <v>651</v>
      </c>
      <c r="O293" s="2952"/>
      <c r="P293" s="2"/>
      <c r="R293" s="2"/>
      <c r="AF293" s="2267"/>
    </row>
    <row r="294" spans="1:32" ht="15.75" thickBot="1" x14ac:dyDescent="0.3">
      <c r="A294" s="9" t="s">
        <v>278</v>
      </c>
      <c r="B294" s="944" t="s">
        <v>588</v>
      </c>
      <c r="C294" s="957" t="str">
        <f>BGPartner_AP</f>
        <v>Alimentatie Plichtig</v>
      </c>
      <c r="D294" s="57" t="str">
        <f>BGPartner_AG</f>
        <v>Alimentatie Gerechtigd</v>
      </c>
      <c r="E294" s="316" t="s">
        <v>264</v>
      </c>
      <c r="F294" s="2673"/>
      <c r="G294" s="38" t="s">
        <v>262</v>
      </c>
      <c r="H294" s="2680"/>
      <c r="I294" s="2673"/>
      <c r="J294" s="2794"/>
      <c r="L294" s="147" t="s">
        <v>240</v>
      </c>
      <c r="M294" s="116" t="s">
        <v>88</v>
      </c>
      <c r="N294" s="22" t="str">
        <f>BGPartner_AP</f>
        <v>Alimentatie Plichtig</v>
      </c>
      <c r="O294" s="22" t="str">
        <f>BGPartner_AG</f>
        <v>Alimentatie Gerechtigd</v>
      </c>
      <c r="P294" s="134" t="s">
        <v>55</v>
      </c>
      <c r="Q294" s="2672" t="s">
        <v>836</v>
      </c>
      <c r="R294" s="2"/>
      <c r="AF294" s="2267"/>
    </row>
    <row r="295" spans="1:32" x14ac:dyDescent="0.25">
      <c r="A295" s="28">
        <v>1</v>
      </c>
      <c r="B295" s="1240"/>
      <c r="C295" s="946">
        <v>0</v>
      </c>
      <c r="D295" s="946">
        <v>0</v>
      </c>
      <c r="E295" s="1651"/>
      <c r="F295" s="1075">
        <v>0</v>
      </c>
      <c r="G295" s="1078">
        <v>0.15</v>
      </c>
      <c r="H295" s="2375">
        <v>0</v>
      </c>
      <c r="I295" s="2376">
        <v>0</v>
      </c>
      <c r="J295" s="2377">
        <v>0</v>
      </c>
      <c r="L295" s="28">
        <v>1</v>
      </c>
      <c r="M295" s="637" t="s">
        <v>819</v>
      </c>
      <c r="N295" s="446">
        <f>COUNTIFS(C$312:C$323,M295)</f>
        <v>0</v>
      </c>
      <c r="O295" s="446">
        <f>COUNTIFS(D$312:D$323,M295)</f>
        <v>0</v>
      </c>
      <c r="P295" s="16">
        <f t="shared" ref="P295" si="44">SUM(N295:O295)</f>
        <v>0</v>
      </c>
      <c r="Q295" s="2671"/>
      <c r="R295" s="2"/>
      <c r="AF295" s="2267"/>
    </row>
    <row r="296" spans="1:32" x14ac:dyDescent="0.25">
      <c r="A296" s="66">
        <v>2</v>
      </c>
      <c r="B296" s="1241"/>
      <c r="C296" s="232">
        <v>0</v>
      </c>
      <c r="D296" s="232">
        <v>0</v>
      </c>
      <c r="E296" s="1652"/>
      <c r="F296" s="1076">
        <v>0</v>
      </c>
      <c r="G296" s="1079">
        <v>0.15</v>
      </c>
      <c r="H296" s="2378">
        <v>0</v>
      </c>
      <c r="I296" s="2376">
        <v>0</v>
      </c>
      <c r="J296" s="2379">
        <v>0</v>
      </c>
      <c r="L296" s="66">
        <v>2</v>
      </c>
      <c r="M296" s="638" t="s">
        <v>842</v>
      </c>
      <c r="N296" s="447">
        <f>COUNTIFS(C$312:C$323,M296)</f>
        <v>0</v>
      </c>
      <c r="O296" s="447">
        <f>COUNTIFS(D$312:D$323,M296)</f>
        <v>0</v>
      </c>
      <c r="P296" s="17">
        <f>SUM(N296:O296)</f>
        <v>0</v>
      </c>
      <c r="Q296" s="2671"/>
      <c r="AF296" s="2267"/>
    </row>
    <row r="297" spans="1:32" x14ac:dyDescent="0.25">
      <c r="A297" s="66">
        <v>3</v>
      </c>
      <c r="B297" s="1241"/>
      <c r="C297" s="232">
        <v>0</v>
      </c>
      <c r="D297" s="232">
        <v>0</v>
      </c>
      <c r="E297" s="1652"/>
      <c r="F297" s="1076">
        <v>0</v>
      </c>
      <c r="G297" s="1079">
        <v>0.15</v>
      </c>
      <c r="H297" s="2378">
        <v>0</v>
      </c>
      <c r="I297" s="2380">
        <v>0</v>
      </c>
      <c r="J297" s="2379">
        <v>0</v>
      </c>
      <c r="L297" s="66">
        <v>3</v>
      </c>
      <c r="M297" s="638" t="s">
        <v>626</v>
      </c>
      <c r="N297" s="447">
        <f>COUNTIFS(C$312:C$323,M297)</f>
        <v>0</v>
      </c>
      <c r="O297" s="447">
        <f>COUNTIFS(D$312:D$323,M297)</f>
        <v>0</v>
      </c>
      <c r="P297" s="17">
        <f>SUM(N297:O297)</f>
        <v>0</v>
      </c>
      <c r="Q297" s="2671"/>
      <c r="AF297" s="2267"/>
    </row>
    <row r="298" spans="1:32" ht="15.75" thickBot="1" x14ac:dyDescent="0.3">
      <c r="A298" s="66">
        <v>4</v>
      </c>
      <c r="B298" s="1242"/>
      <c r="C298" s="231">
        <v>0</v>
      </c>
      <c r="D298" s="231">
        <v>0</v>
      </c>
      <c r="E298" s="1652"/>
      <c r="F298" s="1076">
        <v>0</v>
      </c>
      <c r="G298" s="1079">
        <v>0.15</v>
      </c>
      <c r="H298" s="2378">
        <v>0</v>
      </c>
      <c r="I298" s="2380">
        <v>0</v>
      </c>
      <c r="J298" s="2379">
        <v>0</v>
      </c>
      <c r="L298" s="166">
        <v>4</v>
      </c>
      <c r="M298" s="959" t="s">
        <v>840</v>
      </c>
      <c r="N298" s="956">
        <f>COUNTIFS(C$312:C$323,M298)</f>
        <v>0</v>
      </c>
      <c r="O298" s="956">
        <f>COUNTIFS(D$312:D$323,M298)</f>
        <v>0</v>
      </c>
      <c r="P298" s="958">
        <f>SUM(N298:O298)</f>
        <v>0</v>
      </c>
      <c r="Q298" s="2673"/>
      <c r="AF298" s="2267"/>
    </row>
    <row r="299" spans="1:32" ht="15.75" thickBot="1" x14ac:dyDescent="0.3">
      <c r="A299" s="66">
        <v>5</v>
      </c>
      <c r="B299" s="1241"/>
      <c r="C299" s="232">
        <v>0</v>
      </c>
      <c r="D299" s="232">
        <v>0</v>
      </c>
      <c r="E299" s="1652"/>
      <c r="F299" s="1076">
        <v>0</v>
      </c>
      <c r="G299" s="1079">
        <v>0.15</v>
      </c>
      <c r="H299" s="2378">
        <v>0</v>
      </c>
      <c r="I299" s="2380">
        <v>0</v>
      </c>
      <c r="J299" s="2379">
        <v>0</v>
      </c>
      <c r="L299" s="2712" t="s">
        <v>627</v>
      </c>
      <c r="M299" s="2895"/>
      <c r="N299" s="121">
        <f>SUM(N295:N298)</f>
        <v>0</v>
      </c>
      <c r="O299" s="121">
        <f>SUM(O295:O298)</f>
        <v>0</v>
      </c>
      <c r="P299" s="121">
        <f>SUM(P295:P298)</f>
        <v>0</v>
      </c>
      <c r="Q299" s="953">
        <f>IF(P299&gt;4,4,P299)</f>
        <v>0</v>
      </c>
      <c r="AF299" s="2267"/>
    </row>
    <row r="300" spans="1:32" ht="15.75" thickBot="1" x14ac:dyDescent="0.3">
      <c r="A300" s="66">
        <v>6</v>
      </c>
      <c r="B300" s="1241"/>
      <c r="C300" s="232">
        <v>0</v>
      </c>
      <c r="D300" s="232">
        <v>0</v>
      </c>
      <c r="E300" s="1652"/>
      <c r="F300" s="1076">
        <v>0</v>
      </c>
      <c r="G300" s="1079">
        <v>0.15</v>
      </c>
      <c r="H300" s="2378">
        <v>0</v>
      </c>
      <c r="I300" s="2380">
        <v>0</v>
      </c>
      <c r="J300" s="2379">
        <v>0</v>
      </c>
      <c r="L300" s="28">
        <v>5</v>
      </c>
      <c r="M300" s="637" t="s">
        <v>619</v>
      </c>
      <c r="N300" s="1558">
        <f>COUNTIFS(C$312:C$323,M300)</f>
        <v>0</v>
      </c>
      <c r="O300" s="1370">
        <f>COUNTIFS(D$312:D$323,M300)</f>
        <v>0</v>
      </c>
      <c r="P300" s="1559">
        <f>SUM(N300:O300)</f>
        <v>0</v>
      </c>
      <c r="Q300" s="1607" t="s">
        <v>838</v>
      </c>
      <c r="R300" s="775"/>
      <c r="AF300" s="2267"/>
    </row>
    <row r="301" spans="1:32" ht="15.75" thickBot="1" x14ac:dyDescent="0.3">
      <c r="A301" s="66">
        <v>7</v>
      </c>
      <c r="B301" s="1241"/>
      <c r="C301" s="232">
        <v>0</v>
      </c>
      <c r="D301" s="232">
        <v>0</v>
      </c>
      <c r="E301" s="1652"/>
      <c r="F301" s="1076">
        <v>0</v>
      </c>
      <c r="G301" s="1079">
        <v>0.15</v>
      </c>
      <c r="H301" s="2378">
        <v>0</v>
      </c>
      <c r="I301" s="2380">
        <v>0</v>
      </c>
      <c r="J301" s="2379">
        <v>0</v>
      </c>
      <c r="L301" s="349">
        <v>6</v>
      </c>
      <c r="M301" s="106" t="s">
        <v>841</v>
      </c>
      <c r="N301" s="1560">
        <f>COUNTIFS(C$312:C$323,M301)</f>
        <v>0</v>
      </c>
      <c r="O301" s="1561">
        <f>COUNTIFS(D$312:D$323,M301)</f>
        <v>0</v>
      </c>
      <c r="P301" s="137">
        <f>SUM(N301:O301)</f>
        <v>0</v>
      </c>
      <c r="AF301" s="2267"/>
    </row>
    <row r="302" spans="1:32" ht="15.75" thickBot="1" x14ac:dyDescent="0.3">
      <c r="A302" s="66">
        <v>8</v>
      </c>
      <c r="B302" s="1241"/>
      <c r="C302" s="232">
        <v>0</v>
      </c>
      <c r="D302" s="232">
        <v>0</v>
      </c>
      <c r="E302" s="1652"/>
      <c r="F302" s="1076">
        <v>0</v>
      </c>
      <c r="G302" s="1079">
        <v>0.15</v>
      </c>
      <c r="H302" s="2378">
        <v>0</v>
      </c>
      <c r="I302" s="2380">
        <v>0</v>
      </c>
      <c r="J302" s="2379">
        <v>0</v>
      </c>
      <c r="L302" s="2712" t="s">
        <v>820</v>
      </c>
      <c r="M302" s="2895"/>
      <c r="N302" s="121">
        <f>SUM(N299:N301)</f>
        <v>0</v>
      </c>
      <c r="O302" s="121">
        <f t="shared" ref="O302:P302" si="45">SUM(O299:O301)</f>
        <v>0</v>
      </c>
      <c r="P302" s="121">
        <f t="shared" si="45"/>
        <v>0</v>
      </c>
      <c r="Q302" s="2"/>
      <c r="R302" s="2"/>
      <c r="AF302" s="2267"/>
    </row>
    <row r="303" spans="1:32" x14ac:dyDescent="0.25">
      <c r="A303" s="66">
        <v>9</v>
      </c>
      <c r="B303" s="1241"/>
      <c r="C303" s="232">
        <v>0</v>
      </c>
      <c r="D303" s="232">
        <v>0</v>
      </c>
      <c r="E303" s="1652"/>
      <c r="F303" s="1076">
        <v>0</v>
      </c>
      <c r="G303" s="1079">
        <v>0.15</v>
      </c>
      <c r="H303" s="2378">
        <v>0</v>
      </c>
      <c r="I303" s="2380">
        <v>0</v>
      </c>
      <c r="J303" s="2379">
        <v>0</v>
      </c>
      <c r="M303" s="2"/>
      <c r="N303" s="2"/>
      <c r="O303" s="2"/>
      <c r="P303" s="2"/>
      <c r="Q303" s="2"/>
      <c r="R303" s="2"/>
      <c r="AF303" s="2267"/>
    </row>
    <row r="304" spans="1:32" x14ac:dyDescent="0.25">
      <c r="A304" s="66">
        <v>10</v>
      </c>
      <c r="B304" s="1241"/>
      <c r="C304" s="232">
        <v>0</v>
      </c>
      <c r="D304" s="232">
        <v>0</v>
      </c>
      <c r="E304" s="1652"/>
      <c r="F304" s="1076">
        <v>0</v>
      </c>
      <c r="G304" s="1079">
        <v>0.15</v>
      </c>
      <c r="H304" s="2378">
        <v>0</v>
      </c>
      <c r="I304" s="2380">
        <v>0</v>
      </c>
      <c r="J304" s="2379">
        <v>0</v>
      </c>
      <c r="N304" s="1032"/>
      <c r="O304" s="1032"/>
      <c r="P304" s="1032"/>
      <c r="AF304" s="2267"/>
    </row>
    <row r="305" spans="1:32" x14ac:dyDescent="0.25">
      <c r="A305" s="66">
        <v>11</v>
      </c>
      <c r="B305" s="1241"/>
      <c r="C305" s="232">
        <v>0</v>
      </c>
      <c r="D305" s="232">
        <v>0</v>
      </c>
      <c r="E305" s="1652"/>
      <c r="F305" s="1076">
        <v>0</v>
      </c>
      <c r="G305" s="1079">
        <v>0.15</v>
      </c>
      <c r="H305" s="2378">
        <v>0</v>
      </c>
      <c r="I305" s="2380">
        <v>0</v>
      </c>
      <c r="J305" s="2379">
        <v>0</v>
      </c>
      <c r="Q305" s="2"/>
      <c r="R305" s="2"/>
      <c r="AF305" s="2267"/>
    </row>
    <row r="306" spans="1:32" ht="15.75" thickBot="1" x14ac:dyDescent="0.3">
      <c r="A306" s="30">
        <v>12</v>
      </c>
      <c r="B306" s="1243"/>
      <c r="C306" s="233">
        <v>0</v>
      </c>
      <c r="D306" s="233">
        <v>0</v>
      </c>
      <c r="E306" s="1653"/>
      <c r="F306" s="1077">
        <v>0</v>
      </c>
      <c r="G306" s="1080">
        <v>0.15</v>
      </c>
      <c r="H306" s="2381">
        <v>0</v>
      </c>
      <c r="I306" s="2382">
        <v>0</v>
      </c>
      <c r="J306" s="2383">
        <v>0</v>
      </c>
      <c r="Q306" s="2"/>
      <c r="R306" s="2"/>
      <c r="AF306" s="2267"/>
    </row>
    <row r="307" spans="1:32" ht="15.75" thickBot="1" x14ac:dyDescent="0.3">
      <c r="B307" s="945" t="s">
        <v>131</v>
      </c>
      <c r="C307" s="124">
        <f>SUM(C295:C306)</f>
        <v>0</v>
      </c>
      <c r="D307" s="123">
        <f>SUM(D295:D306)</f>
        <v>0</v>
      </c>
      <c r="E307" s="21"/>
      <c r="F307" s="352">
        <f>SUM(F295:F306)</f>
        <v>0</v>
      </c>
      <c r="Q307" s="2"/>
      <c r="R307" s="2"/>
      <c r="AF307" s="2267"/>
    </row>
    <row r="308" spans="1:32" ht="15.75" thickBot="1" x14ac:dyDescent="0.3">
      <c r="A308" s="942"/>
      <c r="B308" s="580"/>
      <c r="C308" s="943"/>
      <c r="D308" s="943"/>
      <c r="E308" s="942"/>
      <c r="F308" s="942"/>
      <c r="G308" s="942"/>
      <c r="H308" s="942"/>
      <c r="I308" s="942"/>
      <c r="J308" s="942"/>
      <c r="Q308" s="2"/>
      <c r="R308" s="2"/>
      <c r="AF308" s="2267"/>
    </row>
    <row r="309" spans="1:32" ht="15.75" thickBot="1" x14ac:dyDescent="0.3">
      <c r="G309" s="2659" t="s">
        <v>639</v>
      </c>
      <c r="H309" s="2866"/>
      <c r="I309" s="2866"/>
      <c r="J309" s="2867"/>
      <c r="M309" s="120" t="s">
        <v>1128</v>
      </c>
      <c r="N309" s="1032"/>
      <c r="O309" s="1032"/>
      <c r="P309" s="1032"/>
      <c r="Q309" s="2"/>
      <c r="R309" s="2"/>
      <c r="AF309" s="2267"/>
    </row>
    <row r="310" spans="1:32" ht="15.75" thickBot="1" x14ac:dyDescent="0.3">
      <c r="B310" s="104" t="s">
        <v>628</v>
      </c>
      <c r="C310" s="2681" t="s">
        <v>641</v>
      </c>
      <c r="D310" s="2888"/>
      <c r="E310" s="27" t="s">
        <v>629</v>
      </c>
      <c r="F310" s="43" t="s">
        <v>1119</v>
      </c>
      <c r="G310" s="2793" t="s">
        <v>632</v>
      </c>
      <c r="H310" s="2672" t="s">
        <v>757</v>
      </c>
      <c r="I310" s="2672" t="s">
        <v>631</v>
      </c>
      <c r="J310" s="2672" t="s">
        <v>637</v>
      </c>
      <c r="M310" s="940" t="s">
        <v>102</v>
      </c>
      <c r="N310" s="694" t="s">
        <v>622</v>
      </c>
      <c r="O310" s="695" t="s">
        <v>623</v>
      </c>
      <c r="P310" s="1032"/>
      <c r="Q310" s="2"/>
      <c r="R310" s="2"/>
      <c r="AF310" s="2267"/>
    </row>
    <row r="311" spans="1:32" ht="15.75" thickBot="1" x14ac:dyDescent="0.3">
      <c r="A311" s="1107" t="s">
        <v>278</v>
      </c>
      <c r="B311" s="963" t="s">
        <v>588</v>
      </c>
      <c r="C311" s="57" t="str">
        <f>BGPartner_AP</f>
        <v>Alimentatie Plichtig</v>
      </c>
      <c r="D311" s="957" t="str">
        <f>BGPartner_AG</f>
        <v>Alimentatie Gerechtigd</v>
      </c>
      <c r="E311" s="2538">
        <f>$C$16</f>
        <v>45474</v>
      </c>
      <c r="F311" s="2540" t="s">
        <v>618</v>
      </c>
      <c r="G311" s="2794"/>
      <c r="H311" s="2673"/>
      <c r="I311" s="2673"/>
      <c r="J311" s="2673"/>
      <c r="M311" s="1100" t="s">
        <v>620</v>
      </c>
      <c r="N311" s="1033">
        <v>99.94</v>
      </c>
      <c r="O311" s="1034">
        <v>326.16000000000003</v>
      </c>
      <c r="P311" s="1032"/>
      <c r="Q311" s="2"/>
      <c r="R311" s="2"/>
      <c r="AF311" s="2267"/>
    </row>
    <row r="312" spans="1:32" x14ac:dyDescent="0.25">
      <c r="A312" s="615">
        <v>1</v>
      </c>
      <c r="B312" s="964" t="str">
        <f t="shared" ref="B312:B323" si="46">IF(TRIM(B295)="","--",B295)</f>
        <v>--</v>
      </c>
      <c r="C312" s="965" t="str">
        <f t="shared" ref="C312:D323" si="47">IF(C295=0,"--",IF(AND(($C295+$D295)&gt;0,AND($E312&gt;=12,$E312&lt;=17,LEFT($F312,3)="MBO")),"12 t/m 17 (MBO)",IF(AND(($C295+$D295)&gt;0,AND($E312&gt;=0,$E312&lt;=17,$F312="Behoeftetabel")),"0 t/m 17 (Tabel)",IF(AND(($C295+$D295)&gt;0,AND($E312&gt;=16,$E312&lt;=21,$F312="Zelfvoorzienend")),"Zelfvoorzienend",IF(AND(($C295+$D295)&gt;0,AND($E312&gt;=18,$E312&lt;21,$F312="Behoeftetabel")),"18 tot 21 (tabel)",IF(AND(($C295+$D295)&gt;0,AND($E312&gt;=18,$E312&lt;21,OR(LEFT($F312,3)="MBO",LEFT($F312,6)="HBO/WO"))),"18 tot 21 (Student)",IF(AND(($C295+$D295)&gt;0,$E312&gt;=21,$E312&lt;50),"21 of ouder","???")))))))</f>
        <v>--</v>
      </c>
      <c r="D312" s="965" t="str">
        <f t="shared" si="47"/>
        <v>--</v>
      </c>
      <c r="E312" s="974" t="str">
        <f t="shared" ref="E312:E323" si="48">IF(OR(TRIM(B295)="",TRIM(E295)=""),"--",YEAR(C$16-(E295-1))-1900)</f>
        <v>--</v>
      </c>
      <c r="F312" s="2539" t="s">
        <v>615</v>
      </c>
      <c r="G312" s="968">
        <v>0</v>
      </c>
      <c r="H312" s="971" t="s">
        <v>107</v>
      </c>
      <c r="I312" s="1581" t="str">
        <f t="shared" ref="I312:I323" si="49">IF($I$324-(DATE(YEAR($E295)+18,MONTH($E295),DAY($E295)))&lt;0,"Nee","Ja")</f>
        <v>Ja</v>
      </c>
      <c r="J312" s="1237" t="str">
        <f t="shared" ref="J312" si="50">IF(AND($F312="MBO Thuisw.",$I312="Nee"),$N$314-($N$315/12)-SUM($H295:$J295),IF($F312="MBO Thuisw.",$N$314-SUM($H295:$J295),IF(AND($F312="MBO Uitwonend",$I312="Nee"),$O$314-($N$315/12)-SUM($H295:$J295),IF($F312="MBO Uitwonend",$O$314-SUM($H295:$J295),IF(AND($F312="HBO/WO Thuisw.",$H312="Ja"),$N$323-($N$324/12)-SUM($H295:$J295),IF(AND($F312="HBO/WO Uitwonend",$H312="Ja"),$O$323-($N$324/12)-SUM($H295:$J295),IF($F312="HBO/WO Thuisw.",$N$323-SUM($H295:$J295),IF($F312="HBO/WO Uitwonend",$O$323-SUM($H295:$J295),IF($F312="MBO Berekend",$G312-SUM($H295:$J295),IF($F312="HBO/WO Berekend",$G312-$H295-$J295,IF($F312="Zelfvoorzienend","n.v.t","--")))))))))))</f>
        <v>--</v>
      </c>
      <c r="M312" s="1101" t="s">
        <v>621</v>
      </c>
      <c r="N312" s="1027">
        <v>413.24</v>
      </c>
      <c r="O312" s="1026">
        <v>439.62</v>
      </c>
      <c r="P312" s="1032"/>
      <c r="Q312" s="2"/>
      <c r="R312" s="2"/>
      <c r="AF312" s="2267"/>
    </row>
    <row r="313" spans="1:32" ht="15.75" thickBot="1" x14ac:dyDescent="0.3">
      <c r="A313" s="273">
        <v>2</v>
      </c>
      <c r="B313" s="950" t="str">
        <f t="shared" si="46"/>
        <v>--</v>
      </c>
      <c r="C313" s="954" t="str">
        <f t="shared" si="47"/>
        <v>--</v>
      </c>
      <c r="D313" s="639" t="str">
        <f t="shared" si="47"/>
        <v>--</v>
      </c>
      <c r="E313" s="975" t="str">
        <f t="shared" si="48"/>
        <v>--</v>
      </c>
      <c r="F313" s="966" t="s">
        <v>615</v>
      </c>
      <c r="G313" s="969">
        <v>0</v>
      </c>
      <c r="H313" s="684" t="s">
        <v>107</v>
      </c>
      <c r="I313" s="1582" t="str">
        <f t="shared" si="49"/>
        <v>Ja</v>
      </c>
      <c r="J313" s="1278" t="str">
        <f>IF(AND($F313="MBO Thuisw.",$I313="Nee"),$N$314-($N$315/12)-SUM($H296:$J296),IF($F313="MBO Thuisw.",$N$314-SUM($H296:$J296),IF(AND($F313="MBO Uitwonend",$I313="Nee"),$O$314-($N$315/12)-SUM($H296:$J296),IF($F313="MBO Uitwonend",$O$314-SUM($H296:$J296),IF(AND($F313="HBO/WO Thuisw.",$H313="Ja"),$N$323-($N$324/12)-SUM($H296:$J296),IF(AND($F313="HBO/WO Uitwonend",$H313="Ja"),$O$323-($N$324/12)-SUM($H296:$J296),IF($F313="HBO/WO Thuisw.",$N$323-SUM($H296:$J296),IF($F313="HBO/WO Uitwonend",$O$323-SUM($H296:$J296),IF($F313="MBO Berekend",$G313-SUM($H296:$J296),IF($F313="HBO/WO Berekend",$G313-$H296-$J296,IF($F313="Zelfvoorzienend","n.v.t","--")))))))))))</f>
        <v>--</v>
      </c>
      <c r="M313" s="1102" t="s">
        <v>566</v>
      </c>
      <c r="N313" s="1029">
        <v>217.72</v>
      </c>
      <c r="O313" s="1028">
        <v>217.72</v>
      </c>
      <c r="P313" s="1032"/>
      <c r="Q313" s="2"/>
      <c r="R313" s="2"/>
      <c r="AF313" s="2267"/>
    </row>
    <row r="314" spans="1:32" ht="15.75" thickBot="1" x14ac:dyDescent="0.3">
      <c r="A314" s="273">
        <v>3</v>
      </c>
      <c r="B314" s="950" t="str">
        <f t="shared" si="46"/>
        <v>--</v>
      </c>
      <c r="C314" s="954" t="str">
        <f t="shared" si="47"/>
        <v>--</v>
      </c>
      <c r="D314" s="639" t="str">
        <f t="shared" si="47"/>
        <v>--</v>
      </c>
      <c r="E314" s="975" t="str">
        <f t="shared" si="48"/>
        <v>--</v>
      </c>
      <c r="F314" s="966" t="s">
        <v>615</v>
      </c>
      <c r="G314" s="969">
        <v>0</v>
      </c>
      <c r="H314" s="684" t="s">
        <v>107</v>
      </c>
      <c r="I314" s="1582" t="str">
        <f t="shared" si="49"/>
        <v>Ja</v>
      </c>
      <c r="J314" s="1278" t="str">
        <f t="shared" ref="J314:J323" si="51">IF(AND($F314="MBO Thuisw.",$I314="Nee"),$N$314-($N$315/12)-SUM($H297:$J297),IF($F314="MBO Thuisw.",$N$314-SUM($H297:$J297),IF(AND($F314="MBO Uitwonend",$I314="Nee"),$O$314-($N$315/12)-SUM($H297:$J297),IF($F314="MBO Uitwonend",$O$314-SUM($H297:$J297),IF(AND($F314="HBO/WO Thuisw.",$H314="Ja"),$N$323-($N$324/12)-SUM($H297:$J297),IF(AND($F314="HBO/WO Uitwonend",$H314="Ja"),$O$323-($N$324/12)-SUM($H297:$J297),IF($F314="HBO/WO Thuisw.",$N$323-SUM($H297:$J297),IF($F314="HBO/WO Uitwonend",$O$323-SUM($H297:$J297),IF($F314="MBO Berekend",$G314-SUM($H297:$J297),IF($F314="HBO/WO Berekend",$G314-$H297-$J297,IF($F314="Zelfvoorzienend","n.v.t","--")))))))))))</f>
        <v>--</v>
      </c>
      <c r="M314" s="941" t="s">
        <v>599</v>
      </c>
      <c r="N314" s="1035">
        <f>SUM(N311:N313)</f>
        <v>730.90000000000009</v>
      </c>
      <c r="O314" s="1036">
        <f>SUM(O311:O313)</f>
        <v>983.5</v>
      </c>
      <c r="P314" s="1032"/>
      <c r="Q314" s="2"/>
      <c r="R314" s="2"/>
      <c r="AF314" s="2267"/>
    </row>
    <row r="315" spans="1:32" ht="16.149999999999999" customHeight="1" thickBot="1" x14ac:dyDescent="0.3">
      <c r="A315" s="273">
        <v>4</v>
      </c>
      <c r="B315" s="950" t="str">
        <f t="shared" si="46"/>
        <v>--</v>
      </c>
      <c r="C315" s="954" t="str">
        <f t="shared" si="47"/>
        <v>--</v>
      </c>
      <c r="D315" s="639" t="str">
        <f t="shared" si="47"/>
        <v>--</v>
      </c>
      <c r="E315" s="975" t="str">
        <f t="shared" si="48"/>
        <v>--</v>
      </c>
      <c r="F315" s="966" t="s">
        <v>615</v>
      </c>
      <c r="G315" s="969">
        <v>0</v>
      </c>
      <c r="H315" s="684" t="s">
        <v>107</v>
      </c>
      <c r="I315" s="1582" t="str">
        <f t="shared" si="49"/>
        <v>Ja</v>
      </c>
      <c r="J315" s="1278" t="str">
        <f t="shared" si="51"/>
        <v>--</v>
      </c>
      <c r="M315" s="1103" t="s">
        <v>642</v>
      </c>
      <c r="N315" s="1037">
        <f>118.25*12</f>
        <v>1419</v>
      </c>
      <c r="O315" s="1032"/>
      <c r="P315" s="1032"/>
      <c r="Q315" s="2"/>
      <c r="R315" s="2"/>
      <c r="AF315" s="2267"/>
    </row>
    <row r="316" spans="1:32" ht="15.75" customHeight="1" x14ac:dyDescent="0.25">
      <c r="A316" s="273">
        <v>5</v>
      </c>
      <c r="B316" s="950" t="str">
        <f t="shared" si="46"/>
        <v>--</v>
      </c>
      <c r="C316" s="954" t="str">
        <f t="shared" si="47"/>
        <v>--</v>
      </c>
      <c r="D316" s="639" t="str">
        <f t="shared" si="47"/>
        <v>--</v>
      </c>
      <c r="E316" s="975" t="str">
        <f t="shared" si="48"/>
        <v>--</v>
      </c>
      <c r="F316" s="966" t="s">
        <v>615</v>
      </c>
      <c r="G316" s="969">
        <v>0</v>
      </c>
      <c r="H316" s="684" t="s">
        <v>107</v>
      </c>
      <c r="I316" s="1582" t="str">
        <f t="shared" si="49"/>
        <v>Ja</v>
      </c>
      <c r="J316" s="1278" t="str">
        <f t="shared" si="51"/>
        <v>--</v>
      </c>
      <c r="M316" s="942"/>
      <c r="N316" s="1032"/>
      <c r="O316" s="1032"/>
      <c r="P316" s="1032"/>
      <c r="Q316" s="2"/>
      <c r="R316" s="2"/>
      <c r="AF316" s="2267"/>
    </row>
    <row r="317" spans="1:32" ht="15.75" thickBot="1" x14ac:dyDescent="0.3">
      <c r="A317" s="273">
        <v>6</v>
      </c>
      <c r="B317" s="950" t="str">
        <f t="shared" si="46"/>
        <v>--</v>
      </c>
      <c r="C317" s="954" t="str">
        <f t="shared" si="47"/>
        <v>--</v>
      </c>
      <c r="D317" s="639" t="str">
        <f t="shared" si="47"/>
        <v>--</v>
      </c>
      <c r="E317" s="975" t="str">
        <f t="shared" si="48"/>
        <v>--</v>
      </c>
      <c r="F317" s="966" t="s">
        <v>615</v>
      </c>
      <c r="G317" s="969">
        <v>0</v>
      </c>
      <c r="H317" s="684" t="s">
        <v>107</v>
      </c>
      <c r="I317" s="1582" t="str">
        <f t="shared" si="49"/>
        <v>Ja</v>
      </c>
      <c r="J317" s="1278" t="str">
        <f t="shared" si="51"/>
        <v>--</v>
      </c>
      <c r="M317" s="120" t="s">
        <v>1129</v>
      </c>
      <c r="N317" s="1032"/>
      <c r="O317" s="1032"/>
      <c r="P317" s="1032"/>
      <c r="Q317" s="2"/>
      <c r="R317" s="2"/>
      <c r="AF317" s="2267"/>
    </row>
    <row r="318" spans="1:32" ht="15.75" thickBot="1" x14ac:dyDescent="0.3">
      <c r="A318" s="273">
        <v>7</v>
      </c>
      <c r="B318" s="950" t="str">
        <f t="shared" si="46"/>
        <v>--</v>
      </c>
      <c r="C318" s="954" t="str">
        <f t="shared" si="47"/>
        <v>--</v>
      </c>
      <c r="D318" s="639" t="str">
        <f t="shared" si="47"/>
        <v>--</v>
      </c>
      <c r="E318" s="975" t="str">
        <f t="shared" si="48"/>
        <v>--</v>
      </c>
      <c r="F318" s="966" t="s">
        <v>615</v>
      </c>
      <c r="G318" s="969">
        <v>0</v>
      </c>
      <c r="H318" s="684" t="s">
        <v>107</v>
      </c>
      <c r="I318" s="1582" t="str">
        <f t="shared" si="49"/>
        <v>Ja</v>
      </c>
      <c r="J318" s="1278" t="str">
        <f t="shared" si="51"/>
        <v>--</v>
      </c>
      <c r="M318" s="940" t="s">
        <v>102</v>
      </c>
      <c r="N318" s="695" t="s">
        <v>622</v>
      </c>
      <c r="O318" s="695" t="s">
        <v>623</v>
      </c>
      <c r="P318" s="1032"/>
      <c r="Q318" s="2"/>
      <c r="R318" s="2"/>
      <c r="AF318" s="2267"/>
    </row>
    <row r="319" spans="1:32" x14ac:dyDescent="0.25">
      <c r="A319" s="273">
        <v>8</v>
      </c>
      <c r="B319" s="950" t="str">
        <f t="shared" si="46"/>
        <v>--</v>
      </c>
      <c r="C319" s="954" t="str">
        <f t="shared" si="47"/>
        <v>--</v>
      </c>
      <c r="D319" s="639" t="str">
        <f t="shared" si="47"/>
        <v>--</v>
      </c>
      <c r="E319" s="975" t="str">
        <f t="shared" si="48"/>
        <v>--</v>
      </c>
      <c r="F319" s="966" t="s">
        <v>615</v>
      </c>
      <c r="G319" s="969">
        <v>0</v>
      </c>
      <c r="H319" s="684" t="s">
        <v>107</v>
      </c>
      <c r="I319" s="1582" t="str">
        <f t="shared" si="49"/>
        <v>Ja</v>
      </c>
      <c r="J319" s="1278" t="str">
        <f t="shared" si="51"/>
        <v>--</v>
      </c>
      <c r="M319" s="1104" t="s">
        <v>620</v>
      </c>
      <c r="N319" s="682">
        <v>121.33</v>
      </c>
      <c r="O319" s="1034">
        <v>302.39</v>
      </c>
      <c r="P319" s="1032"/>
      <c r="Q319" s="2"/>
      <c r="R319" s="2"/>
      <c r="AF319" s="2267"/>
    </row>
    <row r="320" spans="1:32" ht="15.75" customHeight="1" x14ac:dyDescent="0.25">
      <c r="A320" s="273">
        <v>9</v>
      </c>
      <c r="B320" s="950" t="str">
        <f t="shared" si="46"/>
        <v>--</v>
      </c>
      <c r="C320" s="954" t="str">
        <f t="shared" si="47"/>
        <v>--</v>
      </c>
      <c r="D320" s="639" t="str">
        <f t="shared" si="47"/>
        <v>--</v>
      </c>
      <c r="E320" s="975" t="str">
        <f t="shared" si="48"/>
        <v>--</v>
      </c>
      <c r="F320" s="966" t="s">
        <v>615</v>
      </c>
      <c r="G320" s="969">
        <v>0</v>
      </c>
      <c r="H320" s="684" t="s">
        <v>107</v>
      </c>
      <c r="I320" s="1582" t="str">
        <f t="shared" si="49"/>
        <v>Ja</v>
      </c>
      <c r="J320" s="1278" t="str">
        <f t="shared" si="51"/>
        <v>--</v>
      </c>
      <c r="M320" s="1101" t="s">
        <v>621</v>
      </c>
      <c r="N320" s="1026">
        <v>457.6</v>
      </c>
      <c r="O320" s="1026">
        <v>457.6</v>
      </c>
      <c r="P320" s="1032"/>
      <c r="Q320" s="2"/>
      <c r="R320" s="2"/>
      <c r="AF320" s="2267"/>
    </row>
    <row r="321" spans="1:32" x14ac:dyDescent="0.25">
      <c r="A321" s="273">
        <v>10</v>
      </c>
      <c r="B321" s="950" t="str">
        <f t="shared" si="46"/>
        <v>--</v>
      </c>
      <c r="C321" s="954" t="str">
        <f t="shared" si="47"/>
        <v>--</v>
      </c>
      <c r="D321" s="639" t="str">
        <f t="shared" si="47"/>
        <v>--</v>
      </c>
      <c r="E321" s="975" t="str">
        <f t="shared" si="48"/>
        <v>--</v>
      </c>
      <c r="F321" s="966" t="s">
        <v>615</v>
      </c>
      <c r="G321" s="969">
        <v>0</v>
      </c>
      <c r="H321" s="684" t="s">
        <v>107</v>
      </c>
      <c r="I321" s="1582" t="str">
        <f t="shared" si="49"/>
        <v>Ja</v>
      </c>
      <c r="J321" s="1278" t="str">
        <f t="shared" si="51"/>
        <v>--</v>
      </c>
      <c r="M321" s="1101" t="s">
        <v>1122</v>
      </c>
      <c r="N321" s="1026">
        <v>293.67</v>
      </c>
      <c r="O321" s="1026">
        <v>293.67</v>
      </c>
      <c r="P321" s="1032"/>
      <c r="Q321" s="2"/>
      <c r="R321" s="2"/>
      <c r="AF321" s="2267"/>
    </row>
    <row r="322" spans="1:32" ht="15" customHeight="1" thickBot="1" x14ac:dyDescent="0.3">
      <c r="A322" s="273">
        <v>11</v>
      </c>
      <c r="B322" s="950" t="str">
        <f t="shared" si="46"/>
        <v>--</v>
      </c>
      <c r="C322" s="954" t="str">
        <f t="shared" si="47"/>
        <v>--</v>
      </c>
      <c r="D322" s="639" t="str">
        <f t="shared" si="47"/>
        <v>--</v>
      </c>
      <c r="E322" s="975" t="str">
        <f t="shared" si="48"/>
        <v>--</v>
      </c>
      <c r="F322" s="966" t="s">
        <v>615</v>
      </c>
      <c r="G322" s="969">
        <v>0</v>
      </c>
      <c r="H322" s="684" t="s">
        <v>107</v>
      </c>
      <c r="I322" s="1582" t="str">
        <f t="shared" si="49"/>
        <v>Ja</v>
      </c>
      <c r="J322" s="1278" t="str">
        <f t="shared" si="51"/>
        <v>--</v>
      </c>
      <c r="M322" s="1105" t="s">
        <v>624</v>
      </c>
      <c r="N322" s="1038">
        <v>210.83</v>
      </c>
      <c r="O322" s="1028">
        <v>210.83</v>
      </c>
      <c r="P322" s="1032"/>
      <c r="Q322" s="2"/>
      <c r="R322" s="2"/>
      <c r="AF322" s="2267"/>
    </row>
    <row r="323" spans="1:32" ht="15" customHeight="1" thickBot="1" x14ac:dyDescent="0.3">
      <c r="A323" s="559">
        <v>12</v>
      </c>
      <c r="B323" s="951" t="str">
        <f t="shared" si="46"/>
        <v>--</v>
      </c>
      <c r="C323" s="955" t="str">
        <f t="shared" si="47"/>
        <v>--</v>
      </c>
      <c r="D323" s="640" t="str">
        <f t="shared" si="47"/>
        <v>--</v>
      </c>
      <c r="E323" s="976" t="str">
        <f t="shared" si="48"/>
        <v>--</v>
      </c>
      <c r="F323" s="967" t="s">
        <v>615</v>
      </c>
      <c r="G323" s="970">
        <v>0</v>
      </c>
      <c r="H323" s="972" t="s">
        <v>107</v>
      </c>
      <c r="I323" s="1583" t="str">
        <f t="shared" si="49"/>
        <v>Ja</v>
      </c>
      <c r="J323" s="2004" t="str">
        <f t="shared" si="51"/>
        <v>--</v>
      </c>
      <c r="M323" s="973" t="s">
        <v>599</v>
      </c>
      <c r="N323" s="1039">
        <f>SUM(N319:N322)</f>
        <v>1083.43</v>
      </c>
      <c r="O323" s="1036">
        <f>SUM(O319:O322)</f>
        <v>1264.49</v>
      </c>
      <c r="P323" s="1032"/>
      <c r="Q323" s="2"/>
      <c r="R323" s="2"/>
      <c r="AF323" s="2267"/>
    </row>
    <row r="324" spans="1:32" ht="15.75" customHeight="1" thickBot="1" x14ac:dyDescent="0.3">
      <c r="B324" s="21"/>
      <c r="D324" s="2"/>
      <c r="G324" s="2839" t="s">
        <v>630</v>
      </c>
      <c r="H324" s="2840"/>
      <c r="I324" s="962">
        <f>DATE(YEAR($C$16),8,1)</f>
        <v>45505</v>
      </c>
      <c r="M324" s="1103" t="s">
        <v>638</v>
      </c>
      <c r="N324" s="1037">
        <v>2530</v>
      </c>
      <c r="O324" s="1031"/>
      <c r="Q324" s="2"/>
      <c r="R324" s="2"/>
      <c r="AF324" s="2267"/>
    </row>
    <row r="325" spans="1:32" x14ac:dyDescent="0.25">
      <c r="G325" s="328" t="s">
        <v>635</v>
      </c>
      <c r="H325" s="20" t="s">
        <v>636</v>
      </c>
      <c r="AF325" s="2267"/>
    </row>
    <row r="326" spans="1:32" ht="15" customHeight="1" x14ac:dyDescent="0.25">
      <c r="G326" s="328" t="s">
        <v>633</v>
      </c>
      <c r="H326" s="20" t="s">
        <v>634</v>
      </c>
      <c r="AF326" s="2267"/>
    </row>
    <row r="327" spans="1:32" ht="15" customHeight="1" x14ac:dyDescent="0.25"/>
    <row r="328" spans="1:32" ht="15" customHeight="1" thickBot="1" x14ac:dyDescent="0.3">
      <c r="B328" s="439" t="s">
        <v>1127</v>
      </c>
      <c r="C328" s="20" t="s">
        <v>128</v>
      </c>
      <c r="D328" s="2"/>
    </row>
    <row r="329" spans="1:32" ht="15.75" customHeight="1" thickBot="1" x14ac:dyDescent="0.3">
      <c r="B329" s="2841" t="s">
        <v>127</v>
      </c>
      <c r="C329" s="2842"/>
      <c r="D329" s="2842"/>
      <c r="E329" s="2843"/>
      <c r="F329" s="6" t="s">
        <v>54</v>
      </c>
      <c r="G329" s="6" t="s">
        <v>1114</v>
      </c>
      <c r="H329" s="7" t="s">
        <v>55</v>
      </c>
    </row>
    <row r="330" spans="1:32" ht="15.75" thickBot="1" x14ac:dyDescent="0.3">
      <c r="B330" s="2860" t="s">
        <v>116</v>
      </c>
      <c r="C330" s="2861"/>
      <c r="D330" s="2861"/>
      <c r="E330" s="2861"/>
      <c r="F330" s="2861"/>
      <c r="G330" s="2861"/>
      <c r="H330" s="2862"/>
    </row>
    <row r="331" spans="1:32" ht="15.75" thickBot="1" x14ac:dyDescent="0.3">
      <c r="B331" s="2911" t="s">
        <v>117</v>
      </c>
      <c r="C331" s="2912"/>
      <c r="D331" s="2912"/>
      <c r="E331" s="2912"/>
      <c r="F331" s="2912"/>
      <c r="G331" s="2912"/>
      <c r="H331" s="2913"/>
    </row>
    <row r="332" spans="1:32" x14ac:dyDescent="0.25">
      <c r="B332" s="2844" t="s">
        <v>118</v>
      </c>
      <c r="C332" s="2845"/>
      <c r="D332" s="2845"/>
      <c r="E332" s="2846"/>
      <c r="F332" s="1463">
        <v>306.88</v>
      </c>
      <c r="G332" s="1464">
        <v>16.149999999999999</v>
      </c>
      <c r="H332" s="1460">
        <f>SUM(F332:G332)</f>
        <v>323.02999999999997</v>
      </c>
      <c r="I332" s="21"/>
    </row>
    <row r="333" spans="1:32" x14ac:dyDescent="0.25">
      <c r="B333" s="2905" t="s">
        <v>119</v>
      </c>
      <c r="C333" s="2906"/>
      <c r="D333" s="2906"/>
      <c r="E333" s="2907"/>
      <c r="F333" s="1465">
        <v>613.76</v>
      </c>
      <c r="G333" s="1466">
        <v>32.299999999999997</v>
      </c>
      <c r="H333" s="1458">
        <f>SUM(F333:G333)</f>
        <v>646.05999999999995</v>
      </c>
    </row>
    <row r="334" spans="1:32" ht="15.75" thickBot="1" x14ac:dyDescent="0.3">
      <c r="B334" s="2908" t="s">
        <v>120</v>
      </c>
      <c r="C334" s="2909"/>
      <c r="D334" s="2909"/>
      <c r="E334" s="2910"/>
      <c r="F334" s="1467">
        <v>1194.76</v>
      </c>
      <c r="G334" s="1468">
        <v>62.88</v>
      </c>
      <c r="H334" s="1461">
        <f>SUM(F334:G334)</f>
        <v>1257.6400000000001</v>
      </c>
    </row>
    <row r="335" spans="1:32" ht="15.75" thickBot="1" x14ac:dyDescent="0.3">
      <c r="B335" s="2914" t="s">
        <v>121</v>
      </c>
      <c r="C335" s="2915"/>
      <c r="D335" s="2915"/>
      <c r="E335" s="2915"/>
      <c r="F335" s="2915"/>
      <c r="G335" s="2915"/>
      <c r="H335" s="2916"/>
    </row>
    <row r="336" spans="1:32" x14ac:dyDescent="0.25">
      <c r="B336" s="2844" t="s">
        <v>122</v>
      </c>
      <c r="C336" s="2845"/>
      <c r="D336" s="2845"/>
      <c r="E336" s="2846"/>
      <c r="F336" s="1463">
        <v>306.88</v>
      </c>
      <c r="G336" s="1464">
        <v>16.149999999999999</v>
      </c>
      <c r="H336" s="1460">
        <f>SUM(F336:G336)</f>
        <v>323.02999999999997</v>
      </c>
    </row>
    <row r="337" spans="1:9" x14ac:dyDescent="0.25">
      <c r="B337" s="2905" t="s">
        <v>123</v>
      </c>
      <c r="C337" s="2906"/>
      <c r="D337" s="2906"/>
      <c r="E337" s="2907"/>
      <c r="F337" s="1465">
        <v>968.91</v>
      </c>
      <c r="G337" s="1466">
        <v>51</v>
      </c>
      <c r="H337" s="1458">
        <f>SUM(F337:G337)</f>
        <v>1019.91</v>
      </c>
    </row>
    <row r="338" spans="1:9" ht="15.75" thickBot="1" x14ac:dyDescent="0.3">
      <c r="B338" s="2908" t="s">
        <v>124</v>
      </c>
      <c r="C338" s="2909"/>
      <c r="D338" s="2909"/>
      <c r="E338" s="2910"/>
      <c r="F338" s="1467">
        <v>1549.91</v>
      </c>
      <c r="G338" s="1468">
        <v>81.569999999999993</v>
      </c>
      <c r="H338" s="1461">
        <f>SUM(F338:G338)</f>
        <v>1631.48</v>
      </c>
    </row>
    <row r="339" spans="1:9" ht="15.75" thickBot="1" x14ac:dyDescent="0.3">
      <c r="B339" s="2917" t="s">
        <v>125</v>
      </c>
      <c r="C339" s="2918"/>
      <c r="D339" s="2918"/>
      <c r="E339" s="2918"/>
      <c r="F339" s="2918"/>
      <c r="G339" s="2918"/>
      <c r="H339" s="2919"/>
    </row>
    <row r="340" spans="1:9" x14ac:dyDescent="0.25">
      <c r="B340" s="2844" t="s">
        <v>592</v>
      </c>
      <c r="C340" s="2845"/>
      <c r="D340" s="2845"/>
      <c r="E340" s="2846"/>
      <c r="F340" s="1469">
        <v>1243.01</v>
      </c>
      <c r="G340" s="1470">
        <v>65.42</v>
      </c>
      <c r="H340" s="1457">
        <f>SUM(F340:G340)</f>
        <v>1308.43</v>
      </c>
    </row>
    <row r="341" spans="1:9" x14ac:dyDescent="0.25">
      <c r="B341" s="2905" t="s">
        <v>591</v>
      </c>
      <c r="C341" s="2906"/>
      <c r="D341" s="2906"/>
      <c r="E341" s="2907"/>
      <c r="F341" s="1469">
        <v>1243.01</v>
      </c>
      <c r="G341" s="1470">
        <v>65.42</v>
      </c>
      <c r="H341" s="1458">
        <f>SUM(F341:G341)</f>
        <v>1308.43</v>
      </c>
    </row>
    <row r="342" spans="1:9" ht="15.75" thickBot="1" x14ac:dyDescent="0.3">
      <c r="B342" s="2908" t="s">
        <v>590</v>
      </c>
      <c r="C342" s="2909"/>
      <c r="D342" s="2909"/>
      <c r="E342" s="2910"/>
      <c r="F342" s="1471">
        <v>1775.75</v>
      </c>
      <c r="G342" s="1472">
        <v>93.46</v>
      </c>
      <c r="H342" s="1459">
        <f>SUM(F342:G342)</f>
        <v>1869.21</v>
      </c>
      <c r="I342" s="21"/>
    </row>
    <row r="343" spans="1:9" ht="15.75" thickBot="1" x14ac:dyDescent="0.3">
      <c r="B343" s="2917" t="s">
        <v>126</v>
      </c>
      <c r="C343" s="2918"/>
      <c r="D343" s="2918"/>
      <c r="E343" s="2918"/>
      <c r="F343" s="2918"/>
      <c r="G343" s="2918"/>
      <c r="H343" s="2919"/>
    </row>
    <row r="344" spans="1:9" ht="15.75" thickBot="1" x14ac:dyDescent="0.3">
      <c r="B344" s="2844" t="s">
        <v>592</v>
      </c>
      <c r="C344" s="2845"/>
      <c r="D344" s="2845"/>
      <c r="E344" s="2846"/>
      <c r="F344" s="1480">
        <v>1384.01</v>
      </c>
      <c r="G344" s="1481">
        <v>72.84</v>
      </c>
      <c r="H344" s="1007">
        <f>SUM(F344:G344)</f>
        <v>1456.85</v>
      </c>
    </row>
    <row r="345" spans="1:9" x14ac:dyDescent="0.25">
      <c r="B345" s="2905" t="s">
        <v>591</v>
      </c>
      <c r="C345" s="2906"/>
      <c r="D345" s="2906"/>
      <c r="E345" s="2907"/>
      <c r="F345" s="1480">
        <v>1384.01</v>
      </c>
      <c r="G345" s="1481">
        <v>72.84</v>
      </c>
      <c r="H345" s="1008">
        <f>SUM(F345:G345)</f>
        <v>1456.85</v>
      </c>
    </row>
    <row r="346" spans="1:9" x14ac:dyDescent="0.25">
      <c r="B346" s="2905" t="s">
        <v>593</v>
      </c>
      <c r="C346" s="2906"/>
      <c r="D346" s="2906"/>
      <c r="E346" s="2907"/>
      <c r="F346" s="1473">
        <v>1877.81</v>
      </c>
      <c r="G346" s="1030">
        <v>98.83</v>
      </c>
      <c r="H346" s="1008">
        <f>SUM(F346:G346)</f>
        <v>1976.6399999999999</v>
      </c>
    </row>
    <row r="347" spans="1:9" ht="15.75" thickBot="1" x14ac:dyDescent="0.3">
      <c r="B347" s="2908" t="s">
        <v>594</v>
      </c>
      <c r="C347" s="2909"/>
      <c r="D347" s="2909"/>
      <c r="E347" s="2910"/>
      <c r="F347" s="1473">
        <v>1877.81</v>
      </c>
      <c r="G347" s="1030">
        <v>98.83</v>
      </c>
      <c r="H347" s="1009">
        <f>SUM(F347:G347)</f>
        <v>1976.6399999999999</v>
      </c>
    </row>
    <row r="348" spans="1:9" x14ac:dyDescent="0.25">
      <c r="B348" s="681"/>
      <c r="C348" s="686"/>
      <c r="D348" s="686"/>
      <c r="E348" s="26"/>
      <c r="F348" s="26"/>
      <c r="G348" s="26"/>
      <c r="H348" s="26"/>
    </row>
    <row r="349" spans="1:9" ht="16.5" thickBot="1" x14ac:dyDescent="0.3">
      <c r="A349" s="3">
        <v>144</v>
      </c>
      <c r="B349" s="833" t="s">
        <v>1024</v>
      </c>
      <c r="C349" s="686"/>
      <c r="D349" s="686"/>
      <c r="E349" s="26"/>
      <c r="F349" s="26"/>
      <c r="G349" s="26"/>
      <c r="H349" s="26"/>
    </row>
    <row r="350" spans="1:9" ht="15.75" thickBot="1" x14ac:dyDescent="0.3">
      <c r="B350" s="687" t="str">
        <f>BGPartner_AP</f>
        <v>Alimentatie Plichtig</v>
      </c>
      <c r="C350" s="686"/>
      <c r="D350" s="686"/>
      <c r="E350" s="26"/>
      <c r="F350" s="26"/>
      <c r="G350" s="26"/>
      <c r="H350" s="26"/>
    </row>
    <row r="351" spans="1:9" ht="15.75" thickBot="1" x14ac:dyDescent="0.3">
      <c r="B351" s="1125" t="s">
        <v>445</v>
      </c>
      <c r="C351" s="1119">
        <f>IF(AL94VerzInkomen_AP&lt;=0,0,AL94VerzInkomen_AP)</f>
        <v>0</v>
      </c>
      <c r="D351" s="689" t="s">
        <v>248</v>
      </c>
      <c r="E351" s="26"/>
      <c r="F351" s="26"/>
      <c r="G351" s="26"/>
      <c r="H351" s="26"/>
    </row>
    <row r="352" spans="1:9" ht="15.75" thickBot="1" x14ac:dyDescent="0.3">
      <c r="A352" s="776" t="s">
        <v>242</v>
      </c>
      <c r="B352" s="1126" t="s">
        <v>71</v>
      </c>
      <c r="C352" s="1127" t="s">
        <v>251</v>
      </c>
      <c r="D352" s="1128" t="s">
        <v>247</v>
      </c>
      <c r="E352" s="694" t="s">
        <v>253</v>
      </c>
      <c r="F352" s="694" t="s">
        <v>254</v>
      </c>
      <c r="G352" s="694" t="s">
        <v>205</v>
      </c>
      <c r="H352" s="695" t="s">
        <v>244</v>
      </c>
    </row>
    <row r="353" spans="1:10" x14ac:dyDescent="0.25">
      <c r="A353" s="757">
        <v>1</v>
      </c>
      <c r="B353" s="1123" t="s">
        <v>250</v>
      </c>
      <c r="C353" s="1120"/>
      <c r="D353" s="1121"/>
      <c r="E353" s="1122">
        <f ca="1">IF('Alimentatie 2024-02'!D295&lt;=0,0,'Alimentatie 2024-02'!D295*12)</f>
        <v>0</v>
      </c>
      <c r="F353" s="1120"/>
      <c r="G353" s="1123" t="s">
        <v>252</v>
      </c>
      <c r="H353" s="1124"/>
    </row>
    <row r="354" spans="1:10" x14ac:dyDescent="0.25">
      <c r="A354" s="758">
        <v>2</v>
      </c>
      <c r="B354" s="90" t="s">
        <v>245</v>
      </c>
      <c r="C354" s="700">
        <f>$M$32</f>
        <v>38098</v>
      </c>
      <c r="D354" s="1114"/>
      <c r="E354" s="701"/>
      <c r="F354" s="702"/>
      <c r="G354" s="1131" t="str">
        <f>IF(AND(C351&lt;=C354,C351&gt;0),"        Ga door naar:","")</f>
        <v/>
      </c>
      <c r="H354" s="703">
        <v>10</v>
      </c>
    </row>
    <row r="355" spans="1:10" ht="15.75" thickBot="1" x14ac:dyDescent="0.3">
      <c r="A355" s="759">
        <v>3</v>
      </c>
      <c r="B355" s="404" t="s">
        <v>246</v>
      </c>
      <c r="C355" s="700">
        <f>$M$17</f>
        <v>75518</v>
      </c>
      <c r="D355" s="1115"/>
      <c r="E355" s="704"/>
      <c r="F355" s="705"/>
      <c r="G355" s="1130" t="str">
        <f>IF(AND(C351&gt;C354,C351&lt;=C355),"        Ga door naar:","")</f>
        <v/>
      </c>
      <c r="H355" s="706">
        <v>7</v>
      </c>
    </row>
    <row r="356" spans="1:10" x14ac:dyDescent="0.25">
      <c r="A356" s="757">
        <v>4</v>
      </c>
      <c r="B356" s="1010" t="str">
        <f>CONCATENATE("Bereken [(BI) - € ",C355,"] x ",D356)</f>
        <v>Bereken [(BI) - € 75518] x 0,6303</v>
      </c>
      <c r="C356" s="707"/>
      <c r="D356" s="1474">
        <v>0.63029999999999997</v>
      </c>
      <c r="E356" s="636" t="str">
        <f>IF(C351&gt;C355,(C351-C355)*D356,"n.v.t")</f>
        <v>n.v.t</v>
      </c>
      <c r="F356" s="707"/>
      <c r="G356" s="708" t="s">
        <v>249</v>
      </c>
      <c r="H356" s="709"/>
      <c r="J356"/>
    </row>
    <row r="357" spans="1:10" x14ac:dyDescent="0.25">
      <c r="A357" s="758">
        <v>5</v>
      </c>
      <c r="B357" s="90" t="str">
        <f>CONCATENATE("Is (P) groter dan (NA)? Bereken dan (NA) x ",D357)</f>
        <v>Is (P) groter dan (NA)? Bereken dan (NA) x 1,587</v>
      </c>
      <c r="C357" s="701"/>
      <c r="D357" s="1475">
        <v>1.587</v>
      </c>
      <c r="E357" s="701"/>
      <c r="F357" s="714" t="str">
        <f>IF(C351&gt;C355,IF(E356&gt;E353,E353*D357,"Kleiner"),"n.v.t")</f>
        <v>n.v.t</v>
      </c>
      <c r="G357" s="1129" t="str">
        <f>IF(OR(F357="Kleiner",F357="n.v.t"),"+","+     Ga door naar:")</f>
        <v>+</v>
      </c>
      <c r="H357" s="711">
        <v>11</v>
      </c>
    </row>
    <row r="358" spans="1:10" x14ac:dyDescent="0.25">
      <c r="A358" s="758">
        <v>6</v>
      </c>
      <c r="B358" s="90" t="str">
        <f>CONCATENATE("Is (P) kleiner dan (NA)? Bereken (P) x ",D357)</f>
        <v>Is (P) kleiner dan (NA)? Bereken (P) x 1,587</v>
      </c>
      <c r="C358" s="701"/>
      <c r="D358" s="1114"/>
      <c r="E358" s="701"/>
      <c r="F358" s="714" t="str">
        <f>IF(F357="Kleiner",E356*D357,"n.v.t")</f>
        <v>n.v.t</v>
      </c>
      <c r="G358" s="710" t="s">
        <v>74</v>
      </c>
      <c r="H358" s="703"/>
    </row>
    <row r="359" spans="1:10" x14ac:dyDescent="0.25">
      <c r="A359" s="758"/>
      <c r="B359" s="712" t="s">
        <v>255</v>
      </c>
      <c r="C359" s="713"/>
      <c r="D359" s="1116"/>
      <c r="E359" s="714" t="str">
        <f>IF(OR(C351&gt;C355,LEFT(F357,7)="Kleiner"),E353-E356,"n.v.t")</f>
        <v>n.v.t</v>
      </c>
      <c r="F359" s="715"/>
      <c r="G359" s="713" t="s">
        <v>252</v>
      </c>
      <c r="H359" s="716"/>
    </row>
    <row r="360" spans="1:10" x14ac:dyDescent="0.25">
      <c r="A360" s="758"/>
      <c r="B360" s="717" t="s">
        <v>256</v>
      </c>
      <c r="C360" s="701"/>
      <c r="D360" s="1114"/>
      <c r="E360" s="702"/>
      <c r="F360" s="702"/>
      <c r="G360" s="701"/>
      <c r="H360" s="703"/>
    </row>
    <row r="361" spans="1:10" ht="18" thickBot="1" x14ac:dyDescent="0.3">
      <c r="A361" s="760"/>
      <c r="B361" s="718" t="str">
        <f>CONCATENATE("(BI) stellen we nu op € ",C355)</f>
        <v>(BI) stellen we nu op € 75518</v>
      </c>
      <c r="C361" s="719" t="s">
        <v>257</v>
      </c>
      <c r="D361" s="1117"/>
      <c r="E361" s="720"/>
      <c r="F361" s="720"/>
      <c r="G361" s="720"/>
      <c r="H361" s="721"/>
    </row>
    <row r="362" spans="1:10" x14ac:dyDescent="0.25">
      <c r="A362" s="757">
        <v>7</v>
      </c>
      <c r="B362" s="1010" t="str">
        <f>CONCATENATE("Bereken [(BI) - € ",C354,"] x ",D362)</f>
        <v>Bereken [(BI) - € 38098] x 0,6303</v>
      </c>
      <c r="C362" s="698">
        <f>IF(F357="n.v.t",0,IF(LEFT(F357,7)="Kleiner",C355,0))</f>
        <v>0</v>
      </c>
      <c r="D362" s="1474">
        <v>0.63029999999999997</v>
      </c>
      <c r="E362" s="636" t="str">
        <f>IF(C362=C355,(C355-C354)*D362,IF(AND(C351&lt;=C355,C351&gt;C354),(C351-C354)*D362,"n.v.t"))</f>
        <v>n.v.t</v>
      </c>
      <c r="F362" s="722"/>
      <c r="G362" s="707" t="s">
        <v>249</v>
      </c>
      <c r="H362" s="709"/>
    </row>
    <row r="363" spans="1:10" x14ac:dyDescent="0.25">
      <c r="A363" s="758">
        <v>8</v>
      </c>
      <c r="B363" s="90" t="str">
        <f>CONCATENATE("Is (P) groter dan (NA)? Bereken dan (NA) x ",D363)</f>
        <v>Is (P) groter dan (NA)? Bereken dan (NA) x 1,587</v>
      </c>
      <c r="C363" s="701"/>
      <c r="D363" s="1475">
        <v>1.587</v>
      </c>
      <c r="E363" s="702"/>
      <c r="F363" s="714" t="str">
        <f>IF(C351&lt;=C354,"n.v.t",IF(AND(C362=C355,E362&gt;E359),E359*D363,IF(AND(C362=0,E362&gt;E353),E353*D363,"Kleiner")))</f>
        <v>n.v.t</v>
      </c>
      <c r="G363" s="1129" t="str">
        <f>IF(OR(F363="Kleiner",F363="n.v.t"),"+","+     Ga door naar:")</f>
        <v>+</v>
      </c>
      <c r="H363" s="703">
        <v>11</v>
      </c>
    </row>
    <row r="364" spans="1:10" x14ac:dyDescent="0.25">
      <c r="A364" s="758">
        <v>9</v>
      </c>
      <c r="B364" s="90" t="str">
        <f>CONCATENATE("Is (P) kleiner dan (NA)? Bereken (P) x ",D363)</f>
        <v>Is (P) kleiner dan (NA)? Bereken (P) x 1,587</v>
      </c>
      <c r="C364" s="685"/>
      <c r="D364" s="1118"/>
      <c r="E364" s="701"/>
      <c r="F364" s="714" t="str">
        <f>IF(F363="Kleiner",E362*D363,"n.v.t")</f>
        <v>n.v.t</v>
      </c>
      <c r="G364" s="710" t="s">
        <v>74</v>
      </c>
      <c r="H364" s="703"/>
    </row>
    <row r="365" spans="1:10" x14ac:dyDescent="0.25">
      <c r="A365" s="758"/>
      <c r="B365" s="712" t="s">
        <v>255</v>
      </c>
      <c r="C365" s="713"/>
      <c r="D365" s="1116"/>
      <c r="E365" s="714" t="str">
        <f>IF(AND(C362=C355,F363="Kleiner"),(E359-E362),IF(AND(C351&lt;=C355,C351&gt;C354,F363="Kleiner"),E353-E362,"n.v.t"))</f>
        <v>n.v.t</v>
      </c>
      <c r="F365" s="715"/>
      <c r="G365" s="713" t="s">
        <v>252</v>
      </c>
      <c r="H365" s="716"/>
    </row>
    <row r="366" spans="1:10" ht="15.75" thickBot="1" x14ac:dyDescent="0.3">
      <c r="A366" s="758"/>
      <c r="B366" s="717" t="s">
        <v>243</v>
      </c>
      <c r="C366" s="701"/>
      <c r="D366" s="1114"/>
      <c r="E366" s="702"/>
      <c r="F366" s="702"/>
      <c r="G366" s="701"/>
      <c r="H366" s="703"/>
    </row>
    <row r="367" spans="1:10" x14ac:dyDescent="0.25">
      <c r="A367" s="757">
        <v>10</v>
      </c>
      <c r="B367" s="1010" t="str">
        <f>CONCATENATE("Bereken (NA) x ",D367)</f>
        <v>Bereken (NA) x 1,587</v>
      </c>
      <c r="C367" s="707"/>
      <c r="D367" s="1474">
        <v>1.587</v>
      </c>
      <c r="E367" s="722"/>
      <c r="F367" s="636">
        <f ca="1">IF(BGAOWLeeftijdBereikt_AP="Nee",IF(C351&lt;=C354,E353*D367,IF(E365="n.v.t","n.v.t",E365*D367)),IF(C351&lt;=C354,E353*D369,IF(E365="n.v.t","n.v.t",E365*D369)))</f>
        <v>0</v>
      </c>
      <c r="G367" s="707"/>
      <c r="H367" s="709"/>
    </row>
    <row r="368" spans="1:10" x14ac:dyDescent="0.25">
      <c r="A368" s="758"/>
      <c r="B368" s="723" t="s">
        <v>985</v>
      </c>
      <c r="C368" s="701"/>
      <c r="D368" s="1114"/>
      <c r="E368" s="702"/>
      <c r="F368" s="701"/>
      <c r="G368" s="701"/>
      <c r="H368" s="703"/>
    </row>
    <row r="369" spans="1:8" ht="15.75" thickBot="1" x14ac:dyDescent="0.3">
      <c r="A369" s="760"/>
      <c r="B369" s="320" t="str">
        <f>CONCATENATE("Bereken (NA) x ",D369)</f>
        <v>Bereken (NA) x 1,236</v>
      </c>
      <c r="C369" s="724"/>
      <c r="D369" s="1479">
        <v>1.236</v>
      </c>
      <c r="E369" s="724"/>
      <c r="F369" s="724"/>
      <c r="G369" s="724"/>
      <c r="H369" s="725"/>
    </row>
    <row r="370" spans="1:8" ht="16.5" thickBot="1" x14ac:dyDescent="0.3">
      <c r="A370" s="114">
        <v>144</v>
      </c>
      <c r="B370" s="2902" t="s">
        <v>322</v>
      </c>
      <c r="C370" s="2903"/>
      <c r="D370" s="2903"/>
      <c r="E370" s="2904"/>
      <c r="F370" s="726">
        <f ca="1">IF(LEFT('Alimentatie 2024-02'!D302,2)="Ja","Zie 145/146",SUM(F353:F369))</f>
        <v>0</v>
      </c>
      <c r="G370" s="727"/>
      <c r="H370" s="728"/>
    </row>
    <row r="371" spans="1:8" x14ac:dyDescent="0.25">
      <c r="B371" s="681"/>
      <c r="C371" s="686"/>
      <c r="D371" s="686"/>
      <c r="E371" s="26"/>
      <c r="F371" s="729"/>
      <c r="G371" s="26"/>
      <c r="H371" s="26"/>
    </row>
    <row r="372" spans="1:8" ht="16.5" thickBot="1" x14ac:dyDescent="0.3">
      <c r="B372" s="833" t="s">
        <v>1024</v>
      </c>
      <c r="C372" s="686"/>
      <c r="D372" s="686"/>
      <c r="E372" s="26"/>
      <c r="F372" s="26"/>
      <c r="G372" s="26"/>
      <c r="H372" s="26"/>
    </row>
    <row r="373" spans="1:8" ht="15.75" thickBot="1" x14ac:dyDescent="0.3">
      <c r="A373" s="3">
        <v>144</v>
      </c>
      <c r="B373" s="687" t="str">
        <f>BGPartner_AG</f>
        <v>Alimentatie Gerechtigd</v>
      </c>
      <c r="C373" s="686"/>
      <c r="D373" s="686"/>
      <c r="E373" s="26"/>
      <c r="F373" s="26"/>
      <c r="G373" s="26"/>
      <c r="H373" s="26"/>
    </row>
    <row r="374" spans="1:8" ht="15.75" thickBot="1" x14ac:dyDescent="0.3">
      <c r="B374" s="998" t="s">
        <v>445</v>
      </c>
      <c r="C374" s="688">
        <f>IF(AL94VerzInkomen_AG&lt;=0,0,AL94VerzInkomen_AG)</f>
        <v>0</v>
      </c>
      <c r="D374" s="689" t="s">
        <v>248</v>
      </c>
      <c r="E374" s="26"/>
      <c r="F374" s="26"/>
      <c r="G374" s="26"/>
      <c r="H374" s="26"/>
    </row>
    <row r="375" spans="1:8" ht="15.75" thickBot="1" x14ac:dyDescent="0.3">
      <c r="A375" s="5" t="s">
        <v>242</v>
      </c>
      <c r="B375" s="690" t="s">
        <v>71</v>
      </c>
      <c r="C375" s="691" t="s">
        <v>251</v>
      </c>
      <c r="D375" s="692" t="s">
        <v>247</v>
      </c>
      <c r="E375" s="693" t="s">
        <v>253</v>
      </c>
      <c r="F375" s="694" t="s">
        <v>254</v>
      </c>
      <c r="G375" s="694" t="s">
        <v>205</v>
      </c>
      <c r="H375" s="695" t="s">
        <v>244</v>
      </c>
    </row>
    <row r="376" spans="1:8" x14ac:dyDescent="0.25">
      <c r="A376" s="64">
        <v>1</v>
      </c>
      <c r="B376" s="696" t="s">
        <v>250</v>
      </c>
      <c r="C376" s="697"/>
      <c r="D376" s="1113"/>
      <c r="E376" s="698">
        <f ca="1">IF('Alimentatie 2024-02'!F295&lt;=0,0,'Alimentatie 2024-02'!F295*12)</f>
        <v>0</v>
      </c>
      <c r="F376" s="697"/>
      <c r="G376" s="696" t="s">
        <v>252</v>
      </c>
      <c r="H376" s="699"/>
    </row>
    <row r="377" spans="1:8" x14ac:dyDescent="0.25">
      <c r="A377" s="29">
        <v>2</v>
      </c>
      <c r="B377" s="90" t="s">
        <v>245</v>
      </c>
      <c r="C377" s="700">
        <f>$M$32-1</f>
        <v>38097</v>
      </c>
      <c r="D377" s="1114"/>
      <c r="E377" s="701"/>
      <c r="F377" s="702"/>
      <c r="G377" s="1131" t="str">
        <f>IF(AND(C374&lt;=C377,C374&gt;0),"        Ga door naar:","")</f>
        <v/>
      </c>
      <c r="H377" s="703">
        <v>10</v>
      </c>
    </row>
    <row r="378" spans="1:8" ht="15.75" thickBot="1" x14ac:dyDescent="0.3">
      <c r="A378" s="164">
        <v>3</v>
      </c>
      <c r="B378" s="404" t="s">
        <v>246</v>
      </c>
      <c r="C378" s="700">
        <f>$M$17-1</f>
        <v>75517</v>
      </c>
      <c r="D378" s="1115"/>
      <c r="E378" s="704"/>
      <c r="F378" s="705"/>
      <c r="G378" s="1130" t="str">
        <f>IF(AND(C374&gt;C377,C374&lt;=C378),"        Ga door naar:","")</f>
        <v/>
      </c>
      <c r="H378" s="706">
        <v>7</v>
      </c>
    </row>
    <row r="379" spans="1:8" x14ac:dyDescent="0.25">
      <c r="A379" s="64">
        <v>4</v>
      </c>
      <c r="B379" s="1010" t="str">
        <f>CONCATENATE("Bereken [(BI) - € ",C378,"] x ",D379)</f>
        <v>Bereken [(BI) - € 75517] x 0,6303</v>
      </c>
      <c r="C379" s="707"/>
      <c r="D379" s="1476">
        <f>D356</f>
        <v>0.63029999999999997</v>
      </c>
      <c r="E379" s="636" t="str">
        <f>IF(C374&gt;C378,(C374-C378)*D379,"n.v.t")</f>
        <v>n.v.t</v>
      </c>
      <c r="F379" s="707"/>
      <c r="G379" s="708" t="s">
        <v>249</v>
      </c>
      <c r="H379" s="709"/>
    </row>
    <row r="380" spans="1:8" x14ac:dyDescent="0.25">
      <c r="A380" s="29">
        <v>5</v>
      </c>
      <c r="B380" s="90" t="str">
        <f>CONCATENATE("Is (P) groter dan (NA)? Bereken dan (NA) x ",D380)</f>
        <v>Is (P) groter dan (NA)? Bereken dan (NA) x 1,587</v>
      </c>
      <c r="C380" s="701"/>
      <c r="D380" s="1477">
        <f>D357</f>
        <v>1.587</v>
      </c>
      <c r="E380" s="701"/>
      <c r="F380" s="714" t="str">
        <f>IF(C374&gt;C378,IF(E379&gt;E376,E376*D380,"Kleiner"),"n.v.t")</f>
        <v>n.v.t</v>
      </c>
      <c r="G380" s="1129" t="str">
        <f>IF(OR(F380="Kleiner",F380="n.v.t"),"+","+     Ga door naar:")</f>
        <v>+</v>
      </c>
      <c r="H380" s="711">
        <v>11</v>
      </c>
    </row>
    <row r="381" spans="1:8" x14ac:dyDescent="0.25">
      <c r="A381" s="29">
        <v>6</v>
      </c>
      <c r="B381" s="90" t="str">
        <f>CONCATENATE("Bereken (P) x ",D380)</f>
        <v>Bereken (P) x 1,587</v>
      </c>
      <c r="C381" s="701"/>
      <c r="D381" s="1114"/>
      <c r="E381" s="701"/>
      <c r="F381" s="714" t="str">
        <f>IF(F380="Kleiner",E379*D380,"n.v.t")</f>
        <v>n.v.t</v>
      </c>
      <c r="G381" s="710" t="s">
        <v>74</v>
      </c>
      <c r="H381" s="703"/>
    </row>
    <row r="382" spans="1:8" x14ac:dyDescent="0.25">
      <c r="A382" s="29"/>
      <c r="B382" s="712" t="s">
        <v>255</v>
      </c>
      <c r="C382" s="713"/>
      <c r="D382" s="1116"/>
      <c r="E382" s="714" t="str">
        <f>IF(OR(C374&gt;C378,LEFT(F380,7)="Kleiner"),E376-E379,"n.v.t")</f>
        <v>n.v.t</v>
      </c>
      <c r="F382" s="715"/>
      <c r="G382" s="713" t="s">
        <v>252</v>
      </c>
      <c r="H382" s="716"/>
    </row>
    <row r="383" spans="1:8" x14ac:dyDescent="0.25">
      <c r="A383" s="29"/>
      <c r="B383" s="834" t="s">
        <v>256</v>
      </c>
      <c r="C383" s="701"/>
      <c r="D383" s="1114"/>
      <c r="E383" s="702"/>
      <c r="F383" s="702"/>
      <c r="G383" s="701"/>
      <c r="H383" s="703"/>
    </row>
    <row r="384" spans="1:8" ht="18" thickBot="1" x14ac:dyDescent="0.3">
      <c r="A384" s="31"/>
      <c r="B384" s="835" t="str">
        <f>CONCATENATE("(BI) stellen we nu op € ",C378)</f>
        <v>(BI) stellen we nu op € 75517</v>
      </c>
      <c r="C384" s="719" t="s">
        <v>257</v>
      </c>
      <c r="D384" s="1117"/>
      <c r="E384" s="720"/>
      <c r="F384" s="720"/>
      <c r="G384" s="720"/>
      <c r="H384" s="721"/>
    </row>
    <row r="385" spans="1:8" x14ac:dyDescent="0.25">
      <c r="A385" s="64">
        <v>7</v>
      </c>
      <c r="B385" s="1010" t="str">
        <f>CONCATENATE("Bereken [(BI) - € ",C377,"] x ",D385)</f>
        <v>Bereken [(BI) - € 38097] x 0,6303</v>
      </c>
      <c r="C385" s="698">
        <f>IF(F380="n.v.t",0,IF(LEFT(F380,7)="Kleiner",C378,0))</f>
        <v>0</v>
      </c>
      <c r="D385" s="1476">
        <f>D362</f>
        <v>0.63029999999999997</v>
      </c>
      <c r="E385" s="636" t="str">
        <f>IF(C385=C378,(C378-C377)*D385,IF(AND(C374&lt;=C378,C374&gt;C377),(C374-C377)*D385,"n.v.t"))</f>
        <v>n.v.t</v>
      </c>
      <c r="F385" s="722"/>
      <c r="G385" s="707" t="s">
        <v>249</v>
      </c>
      <c r="H385" s="709"/>
    </row>
    <row r="386" spans="1:8" x14ac:dyDescent="0.25">
      <c r="A386" s="29">
        <v>8</v>
      </c>
      <c r="B386" s="90" t="str">
        <f>CONCATENATE("Is (P) groter dan (NA) bereken dan (NA) x ",D386)</f>
        <v>Is (P) groter dan (NA) bereken dan (NA) x 1,587</v>
      </c>
      <c r="C386" s="701"/>
      <c r="D386" s="1477">
        <f>D363</f>
        <v>1.587</v>
      </c>
      <c r="E386" s="702"/>
      <c r="F386" s="714" t="str">
        <f>IF(C374&lt;=C377,"n.v.t",IF(AND(C385=C378,E385&gt;E382),E382*D386,IF(AND(C385=0,E385&gt;E376),E376*D386,"Kleiner")))</f>
        <v>n.v.t</v>
      </c>
      <c r="G386" s="1129" t="str">
        <f>IF(OR(F386="Kleiner",F386="n.v.t"),"+","+     Ga door naar:")</f>
        <v>+</v>
      </c>
      <c r="H386" s="703">
        <v>11</v>
      </c>
    </row>
    <row r="387" spans="1:8" x14ac:dyDescent="0.25">
      <c r="A387" s="29">
        <v>9</v>
      </c>
      <c r="B387" s="90" t="str">
        <f>CONCATENATE("Bereken (P) x ",D386)</f>
        <v>Bereken (P) x 1,587</v>
      </c>
      <c r="C387" s="685"/>
      <c r="D387" s="1118"/>
      <c r="E387" s="701"/>
      <c r="F387" s="714" t="str">
        <f>IF(F386="Kleiner",E385*D386,"n.v.t")</f>
        <v>n.v.t</v>
      </c>
      <c r="G387" s="710" t="s">
        <v>74</v>
      </c>
      <c r="H387" s="703"/>
    </row>
    <row r="388" spans="1:8" x14ac:dyDescent="0.25">
      <c r="A388" s="29"/>
      <c r="B388" s="712" t="s">
        <v>255</v>
      </c>
      <c r="C388" s="713"/>
      <c r="D388" s="1116"/>
      <c r="E388" s="714" t="str">
        <f>IF(AND(C385=C378,F386="Kleiner"),(E382-E385),IF(AND(C374&lt;=C378,C374&gt;C377,F386="Kleiner"),E376-E385,"n.v.t"))</f>
        <v>n.v.t</v>
      </c>
      <c r="F388" s="715"/>
      <c r="G388" s="713" t="s">
        <v>252</v>
      </c>
      <c r="H388" s="716"/>
    </row>
    <row r="389" spans="1:8" ht="15.75" thickBot="1" x14ac:dyDescent="0.3">
      <c r="A389" s="29"/>
      <c r="B389" s="834" t="s">
        <v>243</v>
      </c>
      <c r="C389" s="701"/>
      <c r="D389" s="1114"/>
      <c r="E389" s="702"/>
      <c r="F389" s="702"/>
      <c r="G389" s="701"/>
      <c r="H389" s="703"/>
    </row>
    <row r="390" spans="1:8" x14ac:dyDescent="0.25">
      <c r="A390" s="64">
        <v>10</v>
      </c>
      <c r="B390" s="1010" t="str">
        <f>CONCATENATE("Bereken (NA) x ",D390)</f>
        <v>Bereken (NA) x 1,587</v>
      </c>
      <c r="C390" s="707"/>
      <c r="D390" s="1476">
        <f>D367</f>
        <v>1.587</v>
      </c>
      <c r="E390" s="722"/>
      <c r="F390" s="636">
        <f ca="1">IF(BGAOWLeeftijdBereikt_AG="Nee",IF(C374&lt;=C377,E376*D390,IF(E388="n.v.t","n.v.t",E388*D390)),IF(C374&lt;=C377,E376*D392,IF(E388="n.v.t","n.v.t",E388*D392)))</f>
        <v>0</v>
      </c>
      <c r="G390" s="707"/>
      <c r="H390" s="709"/>
    </row>
    <row r="391" spans="1:8" x14ac:dyDescent="0.25">
      <c r="A391" s="29"/>
      <c r="B391" s="723" t="s">
        <v>985</v>
      </c>
      <c r="C391" s="701"/>
      <c r="D391" s="1114"/>
      <c r="E391" s="702"/>
      <c r="F391" s="701"/>
      <c r="G391" s="701"/>
      <c r="H391" s="703"/>
    </row>
    <row r="392" spans="1:8" ht="15.75" thickBot="1" x14ac:dyDescent="0.3">
      <c r="A392" s="31"/>
      <c r="B392" s="320" t="str">
        <f>CONCATENATE("Bereken (NA) x ",D392)</f>
        <v>Bereken (NA) x 1,236</v>
      </c>
      <c r="C392" s="724"/>
      <c r="D392" s="1478">
        <f>D369</f>
        <v>1.236</v>
      </c>
      <c r="E392" s="724"/>
      <c r="F392" s="724"/>
      <c r="G392" s="724"/>
      <c r="H392" s="725"/>
    </row>
    <row r="393" spans="1:8" ht="15.75" thickBot="1" x14ac:dyDescent="0.3">
      <c r="A393" s="114">
        <v>144</v>
      </c>
      <c r="B393" s="2902" t="s">
        <v>322</v>
      </c>
      <c r="C393" s="2903"/>
      <c r="D393" s="2903"/>
      <c r="E393" s="2904"/>
      <c r="F393" s="727">
        <f ca="1">IF(LEFT('Alimentatie 2024-02'!F302,2)="Ja","Zie 145/146",SUM(F376:F392))</f>
        <v>0</v>
      </c>
      <c r="G393" s="727"/>
      <c r="H393" s="728"/>
    </row>
  </sheetData>
  <sheetProtection algorithmName="SHA-512" hashValue="8A6oh/pGnKkYUFJvpyGTefi2Rbi64ggmNN8H+OGskTNqrXVwZJv0NZhiLuerMe13fQIJrVTcWfBihBRDow9xlg==" saltValue="ivJF1zCbZpy5FuVs6Li7YA==" spinCount="100000" sheet="1" objects="1" scenarios="1"/>
  <protectedRanges>
    <protectedRange sqref="Q59:R59" name="Regel 059 115 Alleenstaande ouderenkorting"/>
    <protectedRange sqref="Q75:R75" name="Regel 075 115 Combinatiekorting"/>
    <protectedRange sqref="C280:D281 C286:D286 C288:C289 F312:H323 E291 B295:J306" name="Regel 280 Gegevens kinderen en KGB"/>
    <protectedRange sqref="C240:D240 C242:D242" name="Regel 240 123 Huurkosten"/>
    <protectedRange sqref="C227:D227" name="Regel 227 137 Draagkrachtpercentage"/>
    <protectedRange sqref="E200 E203 F201 F204" name="Regel 200 138 Hypotheekrente"/>
    <protectedRange sqref="D144:E145 D149:E150 D155:E159" name="Regel 144 071 tm 073 Ondernemerskosten"/>
    <protectedRange sqref="C25 C27:C28 E25 E27:E28" name="Regel 025 Bijtelling auto"/>
    <protectedRange sqref="C135 C137:C138 C140 E135 E137:E138 E140" name="Regel 135 050 Bruto pensioen uitkering"/>
    <protectedRange sqref="C126 E126 C128:C129 E128:E129 C132 E132" name="Regel 126 043 Soc. verzekeringswetten"/>
    <protectedRange sqref="C117 C119:C120 C122:C123 E117 E119:E120 E122:E123" name="Regel 117 042 AOW uitkering"/>
    <protectedRange sqref="C77:C78 D81 E77:E78 F81" name="Regel 077 045 Inkomen Bouw"/>
    <protectedRange sqref="C33:C35 E33:E35" name="Regel 033 060 Jaarloon"/>
    <protectedRange sqref="C16 C20:C21" name="Regel 016 Berekeningsgegevens"/>
    <protectedRange sqref="C7:D9 C4:D5" name="Regel 007 012 Algemene gegevens"/>
    <protectedRange sqref="C38 E38 C40:C42 E40:E42 C54 E54 C56:C58 E56:E58 C44:C50 C60:C66 E60:E66 C129 E129 E44:E50" name="Regel 038 041 Inkomsten uit arbeid"/>
    <protectedRange sqref="C85:C88 C96:C99 E85:E88 E96:E99 C90:C92 E90:E92 C101:C103 E101:E103" name="Regel 085 049 tm 58 1e en 2e dienstbetrekking"/>
    <protectedRange sqref="C172:C175 C177 F172:F175 F177 C185:C188 C190 F185:F188 F190" name="Regel 172 082 tm 084 Eigen woning"/>
    <protectedRange sqref="C207 E207 C209:C210 E209:E210" name="Regel 207 119a Bijstandsuitkering"/>
    <protectedRange sqref="E165" name="Regel 165 OEW"/>
    <protectedRange sqref="P165:P166" name="Regel 165 OEW Verlater"/>
    <protectedRange sqref="P170:P175" name="Regel 170 OEW Hypotheek"/>
    <protectedRange sqref="E195" name="Regel 195 Woonvergoeding"/>
    <protectedRange sqref="C11:C12" name="Regel 011_012 Nieuwe Partner AP"/>
  </protectedRanges>
  <sortState xmlns:xlrd2="http://schemas.microsoft.com/office/spreadsheetml/2017/richdata2" ref="E291:E299">
    <sortCondition ref="E124:E131"/>
  </sortState>
  <mergeCells count="302">
    <mergeCell ref="N151:N152"/>
    <mergeCell ref="M212:N212"/>
    <mergeCell ref="F293:F294"/>
    <mergeCell ref="B291:D291"/>
    <mergeCell ref="B189:C189"/>
    <mergeCell ref="C293:D293"/>
    <mergeCell ref="F154:J154"/>
    <mergeCell ref="E269:J269"/>
    <mergeCell ref="O151:O152"/>
    <mergeCell ref="M151:M152"/>
    <mergeCell ref="N293:O293"/>
    <mergeCell ref="L292:N292"/>
    <mergeCell ref="M202:M203"/>
    <mergeCell ref="N202:N203"/>
    <mergeCell ref="D289:I289"/>
    <mergeCell ref="E169:E171"/>
    <mergeCell ref="B202:D202"/>
    <mergeCell ref="G199:J199"/>
    <mergeCell ref="G200:J204"/>
    <mergeCell ref="B194:D194"/>
    <mergeCell ref="B203:D203"/>
    <mergeCell ref="B199:D199"/>
    <mergeCell ref="B195:D195"/>
    <mergeCell ref="E181:F181"/>
    <mergeCell ref="G171:J177"/>
    <mergeCell ref="F235:J235"/>
    <mergeCell ref="Q294:Q298"/>
    <mergeCell ref="L302:M302"/>
    <mergeCell ref="F275:J275"/>
    <mergeCell ref="E273:J273"/>
    <mergeCell ref="L299:M299"/>
    <mergeCell ref="B393:E393"/>
    <mergeCell ref="B346:E346"/>
    <mergeCell ref="B344:E344"/>
    <mergeCell ref="B334:E334"/>
    <mergeCell ref="B336:E336"/>
    <mergeCell ref="B337:E337"/>
    <mergeCell ref="B331:H331"/>
    <mergeCell ref="B335:H335"/>
    <mergeCell ref="B342:E342"/>
    <mergeCell ref="B370:E370"/>
    <mergeCell ref="B347:E347"/>
    <mergeCell ref="B345:E345"/>
    <mergeCell ref="B338:E338"/>
    <mergeCell ref="B343:H343"/>
    <mergeCell ref="B341:E341"/>
    <mergeCell ref="B339:H339"/>
    <mergeCell ref="B340:E340"/>
    <mergeCell ref="B333:E333"/>
    <mergeCell ref="G102:J102"/>
    <mergeCell ref="G103:J103"/>
    <mergeCell ref="E287:I287"/>
    <mergeCell ref="C310:D310"/>
    <mergeCell ref="G209:J209"/>
    <mergeCell ref="F234:J234"/>
    <mergeCell ref="F195:I196"/>
    <mergeCell ref="G138:J138"/>
    <mergeCell ref="B204:D204"/>
    <mergeCell ref="B151:C151"/>
    <mergeCell ref="F182:F184"/>
    <mergeCell ref="E182:E184"/>
    <mergeCell ref="F148:J148"/>
    <mergeCell ref="B176:C176"/>
    <mergeCell ref="B201:D201"/>
    <mergeCell ref="B165:D165"/>
    <mergeCell ref="B160:C160"/>
    <mergeCell ref="F233:J233"/>
    <mergeCell ref="B200:D200"/>
    <mergeCell ref="G136:J136"/>
    <mergeCell ref="G111:J111"/>
    <mergeCell ref="E271:J271"/>
    <mergeCell ref="E274:J274"/>
    <mergeCell ref="F143:J143"/>
    <mergeCell ref="G88:J88"/>
    <mergeCell ref="G324:H324"/>
    <mergeCell ref="G310:G311"/>
    <mergeCell ref="B329:E329"/>
    <mergeCell ref="B332:E332"/>
    <mergeCell ref="J310:J311"/>
    <mergeCell ref="F241:J241"/>
    <mergeCell ref="E282:I282"/>
    <mergeCell ref="D288:I288"/>
    <mergeCell ref="F280:I281"/>
    <mergeCell ref="H310:H311"/>
    <mergeCell ref="B330:H330"/>
    <mergeCell ref="E267:J267"/>
    <mergeCell ref="E270:J270"/>
    <mergeCell ref="G309:J309"/>
    <mergeCell ref="F286:I286"/>
    <mergeCell ref="H292:H294"/>
    <mergeCell ref="I292:I294"/>
    <mergeCell ref="J292:J294"/>
    <mergeCell ref="H291:J291"/>
    <mergeCell ref="I310:I311"/>
    <mergeCell ref="E272:J272"/>
    <mergeCell ref="F155:J159"/>
    <mergeCell ref="F150:J150"/>
    <mergeCell ref="G76:J76"/>
    <mergeCell ref="O56:P56"/>
    <mergeCell ref="T132:U132"/>
    <mergeCell ref="T113:U113"/>
    <mergeCell ref="G99:J99"/>
    <mergeCell ref="G89:J89"/>
    <mergeCell ref="G90:J90"/>
    <mergeCell ref="G91:J91"/>
    <mergeCell ref="G92:J92"/>
    <mergeCell ref="G72:J72"/>
    <mergeCell ref="G59:J59"/>
    <mergeCell ref="G60:J60"/>
    <mergeCell ref="G63:J63"/>
    <mergeCell ref="G66:J66"/>
    <mergeCell ref="G61:J61"/>
    <mergeCell ref="G62:J62"/>
    <mergeCell ref="G112:J112"/>
    <mergeCell ref="G86:J86"/>
    <mergeCell ref="G87:J87"/>
    <mergeCell ref="C80:J80"/>
    <mergeCell ref="G118:J118"/>
    <mergeCell ref="G123:J123"/>
    <mergeCell ref="G129:J129"/>
    <mergeCell ref="G70:J70"/>
    <mergeCell ref="G119:J119"/>
    <mergeCell ref="G120:J120"/>
    <mergeCell ref="G127:J127"/>
    <mergeCell ref="G128:J128"/>
    <mergeCell ref="G137:J137"/>
    <mergeCell ref="G130:J130"/>
    <mergeCell ref="E268:J268"/>
    <mergeCell ref="G242:J242"/>
    <mergeCell ref="F145:J145"/>
    <mergeCell ref="F236:J236"/>
    <mergeCell ref="F240:J240"/>
    <mergeCell ref="E168:F168"/>
    <mergeCell ref="G208:J208"/>
    <mergeCell ref="F149:J149"/>
    <mergeCell ref="F169:F171"/>
    <mergeCell ref="F144:J144"/>
    <mergeCell ref="F239:J239"/>
    <mergeCell ref="F232:J232"/>
    <mergeCell ref="G210:J210"/>
    <mergeCell ref="G71:J71"/>
    <mergeCell ref="G122:J122"/>
    <mergeCell ref="G109:J109"/>
    <mergeCell ref="G110:J110"/>
    <mergeCell ref="G113:J113"/>
    <mergeCell ref="G114:J114"/>
    <mergeCell ref="G46:J46"/>
    <mergeCell ref="G47:J47"/>
    <mergeCell ref="G50:J50"/>
    <mergeCell ref="G81:J81"/>
    <mergeCell ref="G106:J106"/>
    <mergeCell ref="G107:J107"/>
    <mergeCell ref="G84:J84"/>
    <mergeCell ref="G108:J108"/>
    <mergeCell ref="G95:J95"/>
    <mergeCell ref="G96:J96"/>
    <mergeCell ref="G101:J101"/>
    <mergeCell ref="G85:J85"/>
    <mergeCell ref="G97:J97"/>
    <mergeCell ref="G98:J98"/>
    <mergeCell ref="G77:J79"/>
    <mergeCell ref="G57:J57"/>
    <mergeCell ref="G100:J100"/>
    <mergeCell ref="G64:J64"/>
    <mergeCell ref="X36:X37"/>
    <mergeCell ref="O18:P18"/>
    <mergeCell ref="U36:U37"/>
    <mergeCell ref="U21:U22"/>
    <mergeCell ref="U29:U30"/>
    <mergeCell ref="O26:P26"/>
    <mergeCell ref="N9:P9"/>
    <mergeCell ref="O52:P52"/>
    <mergeCell ref="O34:P34"/>
    <mergeCell ref="T94:U94"/>
    <mergeCell ref="T104:U104"/>
    <mergeCell ref="T21:T22"/>
    <mergeCell ref="T96:U96"/>
    <mergeCell ref="W95:W96"/>
    <mergeCell ref="T105:U105"/>
    <mergeCell ref="T87:U87"/>
    <mergeCell ref="T29:T30"/>
    <mergeCell ref="V21:V22"/>
    <mergeCell ref="W21:W22"/>
    <mergeCell ref="V29:V30"/>
    <mergeCell ref="W29:W30"/>
    <mergeCell ref="V36:V37"/>
    <mergeCell ref="W36:W37"/>
    <mergeCell ref="T36:T37"/>
    <mergeCell ref="E3:J3"/>
    <mergeCell ref="E4:J4"/>
    <mergeCell ref="E9:F9"/>
    <mergeCell ref="G9:J9"/>
    <mergeCell ref="E5:J5"/>
    <mergeCell ref="G32:J32"/>
    <mergeCell ref="G26:J26"/>
    <mergeCell ref="G27:J27"/>
    <mergeCell ref="D15:J15"/>
    <mergeCell ref="D16:J16"/>
    <mergeCell ref="D17:J17"/>
    <mergeCell ref="D19:J19"/>
    <mergeCell ref="D20:J20"/>
    <mergeCell ref="C22:D22"/>
    <mergeCell ref="E6:J6"/>
    <mergeCell ref="E7:J7"/>
    <mergeCell ref="E8:J8"/>
    <mergeCell ref="E10:J10"/>
    <mergeCell ref="E11:J12"/>
    <mergeCell ref="C13:J13"/>
    <mergeCell ref="D21:J21"/>
    <mergeCell ref="V2:W2"/>
    <mergeCell ref="T14:T15"/>
    <mergeCell ref="P5:Q5"/>
    <mergeCell ref="P6:Q6"/>
    <mergeCell ref="L6:M6"/>
    <mergeCell ref="U14:U15"/>
    <mergeCell ref="R9:S9"/>
    <mergeCell ref="N10:P10"/>
    <mergeCell ref="L4:M4"/>
    <mergeCell ref="P4:Q4"/>
    <mergeCell ref="N7:P7"/>
    <mergeCell ref="N8:P8"/>
    <mergeCell ref="L5:M5"/>
    <mergeCell ref="V6:V7"/>
    <mergeCell ref="W6:W7"/>
    <mergeCell ref="V14:V15"/>
    <mergeCell ref="W14:W15"/>
    <mergeCell ref="R7:S7"/>
    <mergeCell ref="R8:S8"/>
    <mergeCell ref="R10:S10"/>
    <mergeCell ref="T6:T7"/>
    <mergeCell ref="U6:U7"/>
    <mergeCell ref="G33:J34"/>
    <mergeCell ref="G28:J28"/>
    <mergeCell ref="M63:S63"/>
    <mergeCell ref="G56:J56"/>
    <mergeCell ref="G58:J58"/>
    <mergeCell ref="G49:J49"/>
    <mergeCell ref="G48:J48"/>
    <mergeCell ref="M60:S60"/>
    <mergeCell ref="M62:S62"/>
    <mergeCell ref="G52:J53"/>
    <mergeCell ref="O58:P58"/>
    <mergeCell ref="O55:P55"/>
    <mergeCell ref="M148:S148"/>
    <mergeCell ref="M147:P147"/>
    <mergeCell ref="O114:P114"/>
    <mergeCell ref="M121:P121"/>
    <mergeCell ref="M101:P101"/>
    <mergeCell ref="O96:P96"/>
    <mergeCell ref="M139:R139"/>
    <mergeCell ref="M84:P84"/>
    <mergeCell ref="M75:P75"/>
    <mergeCell ref="M76:S76"/>
    <mergeCell ref="M92:P92"/>
    <mergeCell ref="M110:P110"/>
    <mergeCell ref="M138:P138"/>
    <mergeCell ref="M130:P130"/>
    <mergeCell ref="O133:P133"/>
    <mergeCell ref="O142:P142"/>
    <mergeCell ref="G65:J65"/>
    <mergeCell ref="G55:J55"/>
    <mergeCell ref="Z36:Z37"/>
    <mergeCell ref="AA36:AA37"/>
    <mergeCell ref="Y95:Z95"/>
    <mergeCell ref="Y94:Z94"/>
    <mergeCell ref="Y104:Z104"/>
    <mergeCell ref="Y105:Z105"/>
    <mergeCell ref="Y36:Y37"/>
    <mergeCell ref="T78:U78"/>
    <mergeCell ref="X95:X96"/>
    <mergeCell ref="X104:X105"/>
    <mergeCell ref="M66:S66"/>
    <mergeCell ref="O57:P57"/>
    <mergeCell ref="M61:S61"/>
    <mergeCell ref="M59:P59"/>
    <mergeCell ref="G39:J39"/>
    <mergeCell ref="G40:J40"/>
    <mergeCell ref="G41:J41"/>
    <mergeCell ref="G42:J42"/>
    <mergeCell ref="G43:J43"/>
    <mergeCell ref="G44:J44"/>
    <mergeCell ref="G45:J45"/>
    <mergeCell ref="W104:W105"/>
    <mergeCell ref="Z2:AA2"/>
    <mergeCell ref="Z6:Z7"/>
    <mergeCell ref="AA6:AA7"/>
    <mergeCell ref="Z14:Z15"/>
    <mergeCell ref="AA14:AA15"/>
    <mergeCell ref="Z21:Z22"/>
    <mergeCell ref="AA21:AA22"/>
    <mergeCell ref="Z29:Z30"/>
    <mergeCell ref="AA29:AA30"/>
    <mergeCell ref="X2:Y2"/>
    <mergeCell ref="Y21:Y22"/>
    <mergeCell ref="X29:X30"/>
    <mergeCell ref="Y29:Y30"/>
    <mergeCell ref="X14:X15"/>
    <mergeCell ref="Y14:Y15"/>
    <mergeCell ref="X6:X7"/>
    <mergeCell ref="Y6:Y7"/>
    <mergeCell ref="X3:Y3"/>
    <mergeCell ref="X21:X22"/>
  </mergeCells>
  <conditionalFormatting sqref="C7">
    <cfRule type="expression" dxfId="118" priority="2949">
      <formula>AND(D$33+$D$35+$D$73&lt;&gt;0,$C$7="Nee")</formula>
    </cfRule>
    <cfRule type="expression" dxfId="117" priority="2948">
      <formula>AND($D$33+$C$35+$D$73=0,$C$7="Ja")</formula>
    </cfRule>
  </conditionalFormatting>
  <conditionalFormatting sqref="C16">
    <cfRule type="expression" dxfId="113" priority="2954">
      <formula>YEAR($C$16)&lt;_xlfn.NUMBERVALUE(LEFT(C22,4),",",".")</formula>
    </cfRule>
    <cfRule type="expression" dxfId="112" priority="2953">
      <formula>YEAR($C$16)&gt;_xlfn.NUMBERVALUE(LEFT(C22,4),",",".")</formula>
    </cfRule>
  </conditionalFormatting>
  <conditionalFormatting sqref="C20">
    <cfRule type="expression" dxfId="111" priority="2739">
      <formula>AND(TRIM($C$20)&lt;&gt;"",$C$20&gt;$C$17)</formula>
    </cfRule>
    <cfRule type="expression" dxfId="110" priority="2738">
      <formula>AND(TRIM($C$20)&lt;&gt;"",$C$20=$C$17)</formula>
    </cfRule>
  </conditionalFormatting>
  <conditionalFormatting sqref="C21">
    <cfRule type="expression" dxfId="109" priority="77">
      <formula>AND(TRIM($C$20)="",$C$21&lt;&gt;0)</formula>
    </cfRule>
  </conditionalFormatting>
  <conditionalFormatting sqref="C26">
    <cfRule type="cellIs" dxfId="108" priority="148" operator="equal">
      <formula>"Anders"</formula>
    </cfRule>
  </conditionalFormatting>
  <conditionalFormatting sqref="C39">
    <cfRule type="cellIs" dxfId="107" priority="98" operator="equal">
      <formula>"Anders"</formula>
    </cfRule>
  </conditionalFormatting>
  <conditionalFormatting sqref="C45">
    <cfRule type="expression" dxfId="106" priority="69">
      <formula>AND($C$49&lt;&gt;0,$C$45&lt;&gt;0)</formula>
    </cfRule>
  </conditionalFormatting>
  <conditionalFormatting sqref="C48">
    <cfRule type="expression" dxfId="105" priority="70">
      <formula>AND($C$49&lt;&gt;0,$C$48&lt;&gt;0)</formula>
    </cfRule>
  </conditionalFormatting>
  <conditionalFormatting sqref="C50">
    <cfRule type="expression" dxfId="104" priority="34">
      <formula>AND($C$50&lt;&gt;0,$C$49=0)</formula>
    </cfRule>
  </conditionalFormatting>
  <conditionalFormatting sqref="C55">
    <cfRule type="cellIs" dxfId="103" priority="93" operator="equal">
      <formula>"Anders"</formula>
    </cfRule>
  </conditionalFormatting>
  <conditionalFormatting sqref="C61">
    <cfRule type="expression" dxfId="102" priority="66">
      <formula>AND($C$65&lt;&gt;0,$C$61&lt;&gt;0)</formula>
    </cfRule>
  </conditionalFormatting>
  <conditionalFormatting sqref="C64">
    <cfRule type="expression" dxfId="101" priority="65">
      <formula>AND($C$65&lt;&gt;0,$C$64&lt;&gt;0)</formula>
    </cfRule>
  </conditionalFormatting>
  <conditionalFormatting sqref="C66">
    <cfRule type="expression" dxfId="100" priority="32">
      <formula>AND($C$66&lt;&gt;0,$C$65=0)</formula>
    </cfRule>
  </conditionalFormatting>
  <conditionalFormatting sqref="C118">
    <cfRule type="cellIs" dxfId="99" priority="154" operator="equal">
      <formula>"Anders"</formula>
    </cfRule>
  </conditionalFormatting>
  <conditionalFormatting sqref="C127">
    <cfRule type="cellIs" dxfId="98" priority="156" operator="equal">
      <formula>"Anders"</formula>
    </cfRule>
  </conditionalFormatting>
  <conditionalFormatting sqref="C136">
    <cfRule type="cellIs" dxfId="97" priority="150" operator="equal">
      <formula>"Anders"</formula>
    </cfRule>
  </conditionalFormatting>
  <conditionalFormatting sqref="C172">
    <cfRule type="expression" dxfId="96" priority="13">
      <formula>AND($C$172=0,SUM($C$173:$C$175)&gt;0)</formula>
    </cfRule>
  </conditionalFormatting>
  <conditionalFormatting sqref="C185">
    <cfRule type="expression" dxfId="95" priority="12">
      <formula>AND($C$185=0,SUM($C$186:$C$190)&gt;0)</formula>
    </cfRule>
  </conditionalFormatting>
  <conditionalFormatting sqref="C208">
    <cfRule type="cellIs" dxfId="94" priority="171" operator="equal">
      <formula>"Anders"</formula>
    </cfRule>
  </conditionalFormatting>
  <conditionalFormatting sqref="C288 E291">
    <cfRule type="expression" dxfId="93" priority="2737">
      <formula>AND($C$20&gt;=$C$17,$C$288="Ja")</formula>
    </cfRule>
  </conditionalFormatting>
  <conditionalFormatting sqref="C9:D10">
    <cfRule type="cellIs" dxfId="92" priority="2955" operator="lessThanOrEqual">
      <formula>$C$17</formula>
    </cfRule>
  </conditionalFormatting>
  <conditionalFormatting sqref="C236:D236">
    <cfRule type="cellIs" dxfId="91" priority="957" operator="greaterThan">
      <formula>$E$236</formula>
    </cfRule>
  </conditionalFormatting>
  <conditionalFormatting sqref="C295:D306">
    <cfRule type="expression" dxfId="90" priority="80">
      <formula>AND($C295=0,$D295=0,$E295&gt;0)</formula>
    </cfRule>
    <cfRule type="expression" dxfId="89" priority="1832">
      <formula>AND($B295&lt;&gt;"",$E295&lt;&gt;"",SUM($C295:$G295)=0,$E312&lt;18)</formula>
    </cfRule>
    <cfRule type="expression" dxfId="88" priority="1831">
      <formula>AND($C295=1,$D295=1)</formula>
    </cfRule>
  </conditionalFormatting>
  <conditionalFormatting sqref="C298:D301">
    <cfRule type="expression" dxfId="87" priority="1833">
      <formula>AND($B298&lt;&gt;"",$E298&lt;&gt;"",SUM($C298:$G298)=0,$E315&lt;18)</formula>
    </cfRule>
  </conditionalFormatting>
  <conditionalFormatting sqref="C312:D323">
    <cfRule type="cellIs" dxfId="86" priority="25" operator="equal">
      <formula>"Nee"</formula>
    </cfRule>
    <cfRule type="cellIs" dxfId="85" priority="26" operator="equal">
      <formula>"Ja"</formula>
    </cfRule>
    <cfRule type="cellIs" dxfId="84" priority="24" operator="equal">
      <formula>"???"</formula>
    </cfRule>
  </conditionalFormatting>
  <conditionalFormatting sqref="D7">
    <cfRule type="expression" dxfId="83" priority="2956">
      <formula>AND($E$33+$E$35+$F$73&lt;&gt;0,$D$7="Nee")</formula>
    </cfRule>
    <cfRule type="expression" dxfId="82" priority="2957">
      <formula>AND($E$33+$E$35+$F$73=0,$D$7="Ja")</formula>
    </cfRule>
  </conditionalFormatting>
  <conditionalFormatting sqref="D8">
    <cfRule type="expression" dxfId="81" priority="2970">
      <formula>AND($F$73&lt;&gt;0,$D$8="Ja")</formula>
    </cfRule>
  </conditionalFormatting>
  <conditionalFormatting sqref="D50">
    <cfRule type="expression" dxfId="78" priority="55">
      <formula>($D$66*-1)&gt;$D$65</formula>
    </cfRule>
  </conditionalFormatting>
  <conditionalFormatting sqref="D66">
    <cfRule type="expression" dxfId="77" priority="62">
      <formula>($D$66*-1)&gt;$D$65</formula>
    </cfRule>
  </conditionalFormatting>
  <conditionalFormatting sqref="D81">
    <cfRule type="expression" dxfId="76" priority="126">
      <formula>AND($D$81&gt;0,$D$81&lt;$D$79)</formula>
    </cfRule>
  </conditionalFormatting>
  <conditionalFormatting sqref="D145:E145">
    <cfRule type="expression" dxfId="75" priority="2961">
      <formula>AND(D$144="Nee",D$145="Ja")</formula>
    </cfRule>
  </conditionalFormatting>
  <conditionalFormatting sqref="E26">
    <cfRule type="cellIs" dxfId="74" priority="147" operator="equal">
      <formula>"Anders"</formula>
    </cfRule>
  </conditionalFormatting>
  <conditionalFormatting sqref="E39">
    <cfRule type="cellIs" dxfId="73" priority="94" operator="equal">
      <formula>"Anders"</formula>
    </cfRule>
  </conditionalFormatting>
  <conditionalFormatting sqref="E45">
    <cfRule type="expression" dxfId="72" priority="68">
      <formula>AND($E$49&lt;&gt;0,$E$45&lt;&gt;0)</formula>
    </cfRule>
  </conditionalFormatting>
  <conditionalFormatting sqref="E48">
    <cfRule type="expression" dxfId="71" priority="30">
      <formula>AND($C$49&lt;&gt;0,$C$48&lt;&gt;0)</formula>
    </cfRule>
  </conditionalFormatting>
  <conditionalFormatting sqref="E50">
    <cfRule type="expression" dxfId="70" priority="33">
      <formula>AND($E$50&lt;&gt;0,$E$49=0)</formula>
    </cfRule>
  </conditionalFormatting>
  <conditionalFormatting sqref="E55">
    <cfRule type="cellIs" dxfId="69" priority="92" operator="equal">
      <formula>"Anders"</formula>
    </cfRule>
  </conditionalFormatting>
  <conditionalFormatting sqref="E61">
    <cfRule type="expression" dxfId="68" priority="63">
      <formula>AND($E$65&lt;&gt;0,$E$61&lt;&gt;0)</formula>
    </cfRule>
  </conditionalFormatting>
  <conditionalFormatting sqref="E64">
    <cfRule type="expression" dxfId="67" priority="64">
      <formula>AND($E$65&lt;&gt;0,$E$64&lt;&gt;0)</formula>
    </cfRule>
  </conditionalFormatting>
  <conditionalFormatting sqref="E66">
    <cfRule type="expression" dxfId="66" priority="31">
      <formula>AND($E$66&lt;&gt;0,$E$65=0)</formula>
    </cfRule>
  </conditionalFormatting>
  <conditionalFormatting sqref="E118">
    <cfRule type="cellIs" dxfId="65" priority="153" operator="equal">
      <formula>"Anders"</formula>
    </cfRule>
  </conditionalFormatting>
  <conditionalFormatting sqref="E127">
    <cfRule type="cellIs" dxfId="64" priority="155" operator="equal">
      <formula>"Anders"</formula>
    </cfRule>
  </conditionalFormatting>
  <conditionalFormatting sqref="E136">
    <cfRule type="cellIs" dxfId="63" priority="149" operator="equal">
      <formula>"Anders"</formula>
    </cfRule>
  </conditionalFormatting>
  <conditionalFormatting sqref="E173">
    <cfRule type="cellIs" dxfId="62" priority="194" operator="lessThan">
      <formula>0</formula>
    </cfRule>
    <cfRule type="cellIs" dxfId="61" priority="193" operator="greaterThan">
      <formula>$C$173</formula>
    </cfRule>
    <cfRule type="cellIs" dxfId="60" priority="17" stopIfTrue="1" operator="equal">
      <formula>"Zie OEW"</formula>
    </cfRule>
  </conditionalFormatting>
  <conditionalFormatting sqref="E174">
    <cfRule type="expression" dxfId="59" priority="191">
      <formula>AND($E$174&lt;&gt;"Zie OEW",$E$174&gt;$C$174)</formula>
    </cfRule>
  </conditionalFormatting>
  <conditionalFormatting sqref="E175">
    <cfRule type="cellIs" dxfId="58" priority="185" operator="greaterThan">
      <formula>$C$175</formula>
    </cfRule>
  </conditionalFormatting>
  <conditionalFormatting sqref="E175:E177">
    <cfRule type="cellIs" dxfId="57" priority="186" operator="lessThan">
      <formula>0</formula>
    </cfRule>
  </conditionalFormatting>
  <conditionalFormatting sqref="E176">
    <cfRule type="cellIs" dxfId="56" priority="212" operator="greaterThan">
      <formula>$D$176</formula>
    </cfRule>
  </conditionalFormatting>
  <conditionalFormatting sqref="E177 E190">
    <cfRule type="cellIs" dxfId="55" priority="213" operator="greaterThan">
      <formula>$C$177</formula>
    </cfRule>
  </conditionalFormatting>
  <conditionalFormatting sqref="E177">
    <cfRule type="cellIs" dxfId="54" priority="18" stopIfTrue="1" operator="equal">
      <formula>"Zie OEW"</formula>
    </cfRule>
  </conditionalFormatting>
  <conditionalFormatting sqref="E186">
    <cfRule type="cellIs" dxfId="53" priority="112" operator="greaterThan">
      <formula>$C$186</formula>
    </cfRule>
  </conditionalFormatting>
  <conditionalFormatting sqref="E186:E190">
    <cfRule type="cellIs" dxfId="52" priority="109" operator="lessThan">
      <formula>0</formula>
    </cfRule>
  </conditionalFormatting>
  <conditionalFormatting sqref="E187">
    <cfRule type="cellIs" dxfId="51" priority="110" operator="greaterThan">
      <formula>$C$187</formula>
    </cfRule>
  </conditionalFormatting>
  <conditionalFormatting sqref="E188">
    <cfRule type="cellIs" dxfId="50" priority="108" operator="greaterThan">
      <formula>$C$188</formula>
    </cfRule>
  </conditionalFormatting>
  <conditionalFormatting sqref="E189">
    <cfRule type="cellIs" dxfId="49" priority="115" operator="greaterThan">
      <formula>$D$189</formula>
    </cfRule>
  </conditionalFormatting>
  <conditionalFormatting sqref="E195">
    <cfRule type="expression" dxfId="48" priority="14">
      <formula>AND($E$165="Nee",$E$195&lt;&gt;0)</formula>
    </cfRule>
    <cfRule type="expression" dxfId="47" priority="2735">
      <formula>AND($E$195&lt;&gt;0,#REF!&lt;&gt;0)</formula>
    </cfRule>
  </conditionalFormatting>
  <conditionalFormatting sqref="E200">
    <cfRule type="expression" dxfId="46" priority="41">
      <formula>AND(BGOEWRekenModule="Ja",$E$200&lt;&gt;0)</formula>
    </cfRule>
  </conditionalFormatting>
  <conditionalFormatting sqref="E203">
    <cfRule type="expression" dxfId="45" priority="40">
      <formula>AND(BGOEWRekenModule="Ja",$E$203&lt;&gt;0)</formula>
    </cfRule>
  </conditionalFormatting>
  <conditionalFormatting sqref="E208">
    <cfRule type="cellIs" dxfId="44" priority="170" operator="equal">
      <formula>"Anders"</formula>
    </cfRule>
  </conditionalFormatting>
  <conditionalFormatting sqref="F50">
    <cfRule type="expression" dxfId="43" priority="58">
      <formula>($F$50*-1)&gt;$F$49</formula>
    </cfRule>
  </conditionalFormatting>
  <conditionalFormatting sqref="F66">
    <cfRule type="expression" dxfId="42" priority="56">
      <formula>($F$50*-1)&gt;$F$49</formula>
    </cfRule>
  </conditionalFormatting>
  <conditionalFormatting sqref="F81:F82">
    <cfRule type="expression" dxfId="41" priority="125">
      <formula>AND($F$81&gt;0,$F$81&lt;$F$79)</formula>
    </cfRule>
  </conditionalFormatting>
  <conditionalFormatting sqref="F172">
    <cfRule type="expression" dxfId="40" priority="43">
      <formula>AND(BGOEWRekenModule="Ja",$F$172&lt;&gt;0)</formula>
    </cfRule>
  </conditionalFormatting>
  <conditionalFormatting sqref="F173">
    <cfRule type="expression" dxfId="39" priority="16">
      <formula>AND(BGOEWRekenModule="Ja",$F$173&lt;&gt;0)</formula>
    </cfRule>
  </conditionalFormatting>
  <conditionalFormatting sqref="F174">
    <cfRule type="expression" dxfId="38" priority="42">
      <formula>AND(BGOEWRekenModule="Ja",$F$174&lt;&gt;0)</formula>
    </cfRule>
  </conditionalFormatting>
  <conditionalFormatting sqref="F177">
    <cfRule type="expression" dxfId="37" priority="15">
      <formula>AND(BGOEWRekenModule="Ja",$F$177&lt;&gt;0)</formula>
    </cfRule>
  </conditionalFormatting>
  <conditionalFormatting sqref="F201">
    <cfRule type="expression" dxfId="36" priority="39">
      <formula>AND(BGOEWRekenModule="Ja",$F$201&lt;&gt;0)</formula>
    </cfRule>
  </conditionalFormatting>
  <conditionalFormatting sqref="F204">
    <cfRule type="expression" dxfId="35" priority="38">
      <formula>AND(BGOEWRekenModule="Ja",$F$204&lt;&gt;0)</formula>
    </cfRule>
  </conditionalFormatting>
  <conditionalFormatting sqref="F312:F323">
    <cfRule type="expression" dxfId="34" priority="21">
      <formula>AND($E312&lt;16,LEFT($F312,6)="HBO/WO")</formula>
    </cfRule>
    <cfRule type="expression" dxfId="33" priority="1816">
      <formula>AND($E312&lt;16,$F312&lt;&gt;"Behoeftetabel")</formula>
    </cfRule>
    <cfRule type="expression" priority="20" stopIfTrue="1">
      <formula>AND($E312&gt;=16,LEFT($F312,3)="MBO")</formula>
    </cfRule>
  </conditionalFormatting>
  <conditionalFormatting sqref="G312:G323">
    <cfRule type="expression" dxfId="32" priority="23">
      <formula>AND($G312=0,RIGHT($F312,8)="Berekend")</formula>
    </cfRule>
    <cfRule type="expression" dxfId="31" priority="1818">
      <formula>AND(RIGHT($F312,8)="Berekend",$E312&lt;16)</formula>
    </cfRule>
    <cfRule type="expression" dxfId="30" priority="1817">
      <formula>AND($G312&lt;&gt;0,RIGHT($F312,8)&lt;&gt;"Berekend",RIGHT($F312,14)&lt;&gt;"Zelfvoorzienend")</formula>
    </cfRule>
  </conditionalFormatting>
  <conditionalFormatting sqref="H295:H306">
    <cfRule type="expression" dxfId="29" priority="1836">
      <formula>AND($H295&lt;&gt;0,$I312&lt;&gt;"Ja")</formula>
    </cfRule>
  </conditionalFormatting>
  <conditionalFormatting sqref="H312:H323">
    <cfRule type="expression" dxfId="28" priority="85">
      <formula>AND(LEFT($F312,6)&lt;&gt;"HBO/WO",$H312&lt;&gt;"Nee")</formula>
    </cfRule>
  </conditionalFormatting>
  <conditionalFormatting sqref="I295:I306">
    <cfRule type="expression" dxfId="27" priority="1835">
      <formula>AND($I295&lt;&gt;0,AND(LEFT($F312,3)&lt;&gt;"MBO", LEFT($F312,3)&lt;&gt;"HBO"))</formula>
    </cfRule>
  </conditionalFormatting>
  <conditionalFormatting sqref="P165:P166 P170:P173 P175">
    <cfRule type="expression" dxfId="26" priority="2962">
      <formula>AND($E$165="Ja",$P165="")</formula>
    </cfRule>
  </conditionalFormatting>
  <conditionalFormatting sqref="P174">
    <cfRule type="expression" dxfId="25" priority="2965">
      <formula>AND($E$165="Ja",$P$166="Ja",$P$174=0)</formula>
    </cfRule>
  </conditionalFormatting>
  <conditionalFormatting sqref="Q59 E165">
    <cfRule type="expression" dxfId="24" priority="205">
      <formula>AND($Q$57&gt;$Q$58,$Q$59="Ja")</formula>
    </cfRule>
  </conditionalFormatting>
  <conditionalFormatting sqref="Q75">
    <cfRule type="expression" dxfId="23" priority="2973">
      <formula>AND($Q$75="Ja",$N$299=0)</formula>
    </cfRule>
  </conditionalFormatting>
  <conditionalFormatting sqref="R59">
    <cfRule type="expression" dxfId="22" priority="204">
      <formula>AND($R$57&gt;$R$58,$R$59="Ja")</formula>
    </cfRule>
  </conditionalFormatting>
  <conditionalFormatting sqref="R75">
    <cfRule type="expression" dxfId="21" priority="2974">
      <formula>AND($R$75="Ja",$O$299=0)</formula>
    </cfRule>
  </conditionalFormatting>
  <conditionalFormatting sqref="T179:T180">
    <cfRule type="cellIs" dxfId="20" priority="44" operator="equal">
      <formula>-0.5</formula>
    </cfRule>
    <cfRule type="cellIs" dxfId="19" priority="45" operator="equal">
      <formula>50%</formula>
    </cfRule>
  </conditionalFormatting>
  <conditionalFormatting sqref="T182:AE193">
    <cfRule type="cellIs" dxfId="18" priority="3" operator="equal">
      <formula>50%</formula>
    </cfRule>
    <cfRule type="cellIs" dxfId="17" priority="2" operator="equal">
      <formula>-0.5</formula>
    </cfRule>
  </conditionalFormatting>
  <dataValidations xWindow="380" yWindow="881" count="1">
    <dataValidation type="whole" allowBlank="1" showInputMessage="1" showErrorMessage="1" promptTitle="Aantal invullen" prompt="Vul een 0 of een 1 in" sqref="C295:D306" xr:uid="{868750B0-1750-417E-A1B6-71FA4E5CFFA5}">
      <formula1>0</formula1>
      <formula2>1</formula2>
    </dataValidation>
  </dataValidations>
  <hyperlinks>
    <hyperlink ref="P14" r:id="rId1" xr:uid="{00000000-0004-0000-0000-000000000000}"/>
    <hyperlink ref="O54" r:id="rId2" xr:uid="{00000000-0004-0000-0000-000003000000}"/>
    <hyperlink ref="N132" r:id="rId3" xr:uid="{00000000-0004-0000-0000-000005000000}"/>
    <hyperlink ref="P20" r:id="rId4" xr:uid="{00000000-0004-0000-0000-000007000000}"/>
    <hyperlink ref="P28" r:id="rId5" xr:uid="{00000000-0004-0000-0000-000008000000}"/>
    <hyperlink ref="O150" r:id="rId6" xr:uid="{00000000-0004-0000-0000-000004000000}"/>
    <hyperlink ref="P36" r:id="rId7" xr:uid="{00000000-0004-0000-0000-000009000000}"/>
    <hyperlink ref="O201" r:id="rId8" xr:uid="{85B0F502-A1A8-42CE-8E0D-14B72C54E7A0}"/>
    <hyperlink ref="C328" r:id="rId9" xr:uid="{00000000-0004-0000-0000-000001000000}"/>
    <hyperlink ref="E270" r:id="rId10" xr:uid="{00000000-0004-0000-0000-000006000000}"/>
    <hyperlink ref="D219" r:id="rId11" display="https://www.belastingdienst.nl/wps/wcm/connect/bldcontentnl/belastingdienst/prive/vermogen_en_aanmerkelijk_belang/vermogen/wat_zijn_uw_bezittingen_en_schulden/uw_schulden/drempel" xr:uid="{00000000-0004-0000-0000-00000C000000}"/>
    <hyperlink ref="F275" r:id="rId12" xr:uid="{00000000-0004-0000-0000-000010000000}"/>
    <hyperlink ref="D220" r:id="rId13" xr:uid="{831F20BF-4AEF-4C93-84AE-843F39FB5D5C}"/>
    <hyperlink ref="G242" r:id="rId14" xr:uid="{00000000-0004-0000-0000-000011000000}"/>
    <hyperlink ref="E287" r:id="rId15" display="https://www.belastingdienst.nl/rekenhulpen/toeslagen/" xr:uid="{52CE9EE6-74A6-4D37-ACA7-3B3658E3ED9F}"/>
    <hyperlink ref="E282" r:id="rId16" display="https://www.belastingdienst.nl/rekenhulpen/toeslagen/" xr:uid="{36378316-69C0-4336-B0F4-8D1717CE868C}"/>
    <hyperlink ref="H326" r:id="rId17" xr:uid="{17739179-EA78-4BA3-A173-3799F821035D}"/>
    <hyperlink ref="H325" r:id="rId18" xr:uid="{7AE1882D-6651-471D-BC39-51D4FA80E5D9}"/>
    <hyperlink ref="G9" r:id="rId19" xr:uid="{00000000-0004-0000-0000-000012000000}"/>
    <hyperlink ref="E273:J273" r:id="rId20" display="Zie hiervoor de site van de belastingdienst onder &quot;Voorwaarden aftrek zorgkosten&quot;" xr:uid="{29D7AB26-34EC-42A1-BD31-A2D0841231A3}"/>
    <hyperlink ref="O78" r:id="rId21" xr:uid="{7DBBFFF9-E05D-4089-956B-9A4E09E815C8}"/>
    <hyperlink ref="O86" r:id="rId22" xr:uid="{45843A70-09AE-4895-B7D3-06AAEFEEE864}"/>
    <hyperlink ref="O94" r:id="rId23" xr:uid="{4709F93F-4CB2-4A94-B48D-DBBC00C48D41}"/>
    <hyperlink ref="O113" r:id="rId24" xr:uid="{6B391C86-A7B3-4BA7-AE35-DA2377164895}"/>
    <hyperlink ref="O206" r:id="rId25" xr:uid="{131A4D58-2069-4524-AF82-07AACD4078EA}"/>
    <hyperlink ref="C153" r:id="rId26" xr:uid="{C172C30F-D1E8-47EA-B39D-90122F3E61A1}"/>
  </hyperlinks>
  <pageMargins left="0.70866141732283472" right="0.70866141732283472" top="0.74803149606299213" bottom="0.74803149606299213" header="0.31496062992125984" footer="0.31496062992125984"/>
  <pageSetup paperSize="8" scale="65" orientation="landscape" horizontalDpi="4294967293" r:id="rId27"/>
  <drawing r:id="rId28"/>
  <legacyDrawing r:id="rId29"/>
  <extLst>
    <ext xmlns:x14="http://schemas.microsoft.com/office/spreadsheetml/2009/9/main" uri="{78C0D931-6437-407d-A8EE-F0AAD7539E65}">
      <x14:conditionalFormattings>
        <x14:conditionalFormatting xmlns:xm="http://schemas.microsoft.com/office/excel/2006/main">
          <x14:cfRule type="expression" priority="2966" id="{00000000-000E-0000-0200-0000CE050000}">
            <xm:f>AND('Alimentatie 2024-02'!$D$56&gt;$H$340,$C$8="Ja")</xm:f>
            <x14:dxf>
              <fill>
                <patternFill>
                  <bgColor rgb="FFFF0000"/>
                </patternFill>
              </fill>
            </x14:dxf>
          </x14:cfRule>
          <x14:cfRule type="expression" priority="2967" id="{00000000-000E-0000-0200-0000CF050000}">
            <xm:f>AND('Alimentatie 2024-02'!$D$56&gt;$H$340,$C$8="Ja")</xm:f>
            <x14:dxf>
              <fill>
                <patternFill>
                  <bgColor rgb="FFFFC000"/>
                </patternFill>
              </fill>
            </x14:dxf>
          </x14:cfRule>
          <x14:cfRule type="expression" priority="2968" id="{60A155B2-AC98-49B2-8FDF-ADF7CFE74315}">
            <xm:f>AND('Alimentatie 2024-02'!$D$56&lt;$H$340,$C$8="Nee")</xm:f>
            <x14:dxf>
              <fill>
                <patternFill>
                  <bgColor rgb="FFFFC000"/>
                </patternFill>
              </fill>
            </x14:dxf>
          </x14:cfRule>
          <xm:sqref>C8</xm:sqref>
        </x14:conditionalFormatting>
        <x14:conditionalFormatting xmlns:xm="http://schemas.microsoft.com/office/excel/2006/main">
          <x14:cfRule type="expression" priority="2971" id="{57B52131-CDB9-47DF-B677-B1433483B64B}">
            <xm:f>AND('Alimentatie 2024-02'!$F$56&gt;$H$340,$D$8="Ja")</xm:f>
            <x14:dxf>
              <fill>
                <patternFill>
                  <bgColor rgb="FFFFC000"/>
                </patternFill>
              </fill>
            </x14:dxf>
          </x14:cfRule>
          <x14:cfRule type="expression" priority="2972" id="{00000000-000E-0000-0200-0000D1050000}">
            <xm:f>AND('Alimentatie 2024-02'!$F$56&lt;$H$340,$D$8="Nee")</xm:f>
            <x14:dxf>
              <fill>
                <patternFill>
                  <bgColor rgb="FFFFC000"/>
                </patternFill>
              </fill>
            </x14:dxf>
          </x14:cfRule>
          <xm:sqref>D8</xm:sqref>
        </x14:conditionalFormatting>
      </x14:conditionalFormattings>
    </ext>
    <ext xmlns:x14="http://schemas.microsoft.com/office/spreadsheetml/2009/9/main" uri="{CCE6A557-97BC-4b89-ADB6-D9C93CAAB3DF}">
      <x14:dataValidations xmlns:xm="http://schemas.microsoft.com/office/excel/2006/main" xWindow="380" yWindow="881" count="10">
        <x14:dataValidation type="list" allowBlank="1" showInputMessage="1" showErrorMessage="1" errorTitle="Fout" error="Er is een foutive waarde ingevoerd" promptTitle="Ja / Nee" prompt="Vul Ja of Nee in" xr:uid="{00000000-0002-0000-0000-000002000000}">
          <x14:formula1>
            <xm:f>Keuzelijsten!$G$2:$G$3</xm:f>
          </x14:formula1>
          <xm:sqref>Q75:R75 E165 P166 E129 C129 C288:C289 C34 H312:H323 Q59:R59 E291 C271:D271 D144:E145 D155:E159 D149:E150 C7:D8 C62 E62 E34 C46 E46</xm:sqref>
        </x14:dataValidation>
        <x14:dataValidation type="list" allowBlank="1" showInputMessage="1" showErrorMessage="1" promptTitle="Draagkracht %" prompt="Normaal wordt uitgegaan van 60%" xr:uid="{4637156D-0CC3-4F4D-98D1-11DD5848A6F9}">
          <x14:formula1>
            <xm:f>Keuzelijsten!$M$2:$M$3</xm:f>
          </x14:formula1>
          <xm:sqref>C227:D227</xm:sqref>
        </x14:dataValidation>
        <x14:dataValidation type="list" allowBlank="1" showInputMessage="1" showErrorMessage="1" errorTitle="Fout" error="Foute gegevens invoer" promptTitle="Soort loon" prompt="Geef aan of het om een maand, een 4-wekenloon of een weekloon gaat of andere opties zijn niet mogelijk" xr:uid="{94BE9EE9-34F9-4DD5-A9A7-68879305EB3B}">
          <x14:formula1>
            <xm:f>Keuzelijsten!$C$2:$C$5</xm:f>
          </x14:formula1>
          <xm:sqref>C38 E25 C25 E54 C54 E38</xm:sqref>
        </x14:dataValidation>
        <x14:dataValidation type="list" allowBlank="1" showInputMessage="1" showErrorMessage="1" promptTitle="Behoeftebasis" prompt="Kies de juiste status voor het kind, onder de 18 is de keuze altijd: Tabelbehoefte_x000a_" xr:uid="{AC94851A-8B79-4494-8ED7-9018A13BA60C}">
          <x14:formula1>
            <xm:f>Keuzelijsten!$O$2:$O$9</xm:f>
          </x14:formula1>
          <xm:sqref>F312:F323</xm:sqref>
        </x14:dataValidation>
        <x14:dataValidation type="list" allowBlank="1" showInputMessage="1" showErrorMessage="1" promptTitle="Zorgkorting" prompt="Voor 0%, 5%, 15%, 25% of 35% in" xr:uid="{3B3D1596-6ABE-4544-A47D-15ED9F3E03C5}">
          <x14:formula1>
            <xm:f>Keuzelijsten!$K$2:$K$6</xm:f>
          </x14:formula1>
          <xm:sqref>G295:G306</xm:sqref>
        </x14:dataValidation>
        <x14:dataValidation type="list" allowBlank="1" showInputMessage="1" showErrorMessage="1" errorTitle="Fout" error="Kies de juiste naam uit de tabel" promptTitle="Wie heeft de woning verlaten?" xr:uid="{57948B4A-DB8E-467A-8B70-36B19D0EE346}">
          <x14:formula1>
            <xm:f>Keuzelijsten!$R$2:$R$3</xm:f>
          </x14:formula1>
          <xm:sqref>P165</xm:sqref>
        </x14:dataValidation>
        <x14:dataValidation type="list" allowBlank="1" showInputMessage="1" showErrorMessage="1" errorTitle="Fout" error="Kies de juiste waarde uit de tabel" promptTitle="Rente meenemen o.b.v." xr:uid="{CA29AC0F-E7F7-4C76-A495-806E6D0D9590}">
          <x14:formula1>
            <xm:f>Keuzelijsten!$T$2:$T$3</xm:f>
          </x14:formula1>
          <xm:sqref>P175</xm:sqref>
        </x14:dataValidation>
        <x14:dataValidation type="list" allowBlank="1" showInputMessage="1" showErrorMessage="1" errorTitle="Fout" error="Foute gegevens invoer" promptTitle="Betaalperiode Maand/Jaar" prompt="Geef aan of het om een maand of een jaarbedrag gaat" xr:uid="{1A205309-3377-4F83-9E81-90E3BD26C5BF}">
          <x14:formula1>
            <xm:f>Keuzelijsten!$E$2:$E$3</xm:f>
          </x14:formula1>
          <xm:sqref>C117 E117 E126 C126 C135 E135 C207 E207</xm:sqref>
        </x14:dataValidation>
        <x14:dataValidation type="list" allowBlank="1" showInputMessage="1" showErrorMessage="1" errorTitle="Fout" error="Kies de juiste naam uit de tabel" promptTitle="Wie heeft de woning verlaten?" xr:uid="{B73C9871-0BFB-4C62-9FD9-F72A13BED185}">
          <x14:formula1>
            <xm:f>Keuzelijsten!$R$2:$R$4</xm:f>
          </x14:formula1>
          <xm:sqref>P170:P173</xm:sqref>
        </x14:dataValidation>
        <x14:dataValidation type="list" allowBlank="1" showInputMessage="1" showErrorMessage="1" promptTitle="Geef Ja of Nee in" prompt="Geeft Ja is als er sprake is van een nieuwe partner met voldoende eigen inkomen." xr:uid="{25F6E7AD-C019-47F0-A384-1D6D84E77205}">
          <x14:formula1>
            <xm:f>Keuzelijsten!$G$2:$G$3</xm:f>
          </x14:formula1>
          <xm:sqref>C11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39997558519241921"/>
  </sheetPr>
  <dimension ref="A1:AC45"/>
  <sheetViews>
    <sheetView showGridLines="0" zoomScale="80" zoomScaleNormal="80" workbookViewId="0">
      <selection activeCell="L13" sqref="L13"/>
    </sheetView>
  </sheetViews>
  <sheetFormatPr defaultColWidth="8.85546875" defaultRowHeight="15" x14ac:dyDescent="0.25"/>
  <cols>
    <col min="1" max="1" width="4.7109375" customWidth="1"/>
    <col min="2" max="2" width="40.7109375" customWidth="1"/>
    <col min="3" max="3" width="13.28515625" customWidth="1"/>
    <col min="4" max="4" width="18.7109375" customWidth="1"/>
    <col min="5" max="5" width="20.7109375" customWidth="1"/>
    <col min="6" max="6" width="15.7109375" customWidth="1"/>
    <col min="7" max="8" width="13.28515625" customWidth="1"/>
    <col min="9" max="9" width="25.7109375" customWidth="1"/>
    <col min="10" max="10" width="9.7109375" customWidth="1"/>
    <col min="11" max="11" width="11.7109375" customWidth="1"/>
    <col min="12" max="12" width="11.7109375" style="126" customWidth="1"/>
    <col min="13" max="23" width="11.7109375" customWidth="1"/>
    <col min="24" max="26" width="9.7109375" customWidth="1"/>
  </cols>
  <sheetData>
    <row r="1" spans="1:22" ht="21.75" thickBot="1" x14ac:dyDescent="0.4">
      <c r="A1" s="2254"/>
      <c r="B1" s="2208" t="s">
        <v>769</v>
      </c>
      <c r="C1" s="2255"/>
      <c r="D1" s="2255"/>
      <c r="E1" s="2255"/>
      <c r="F1" s="2255"/>
      <c r="G1" s="2255"/>
      <c r="H1" s="2255"/>
      <c r="I1" s="2255"/>
      <c r="J1" s="2255"/>
      <c r="K1" s="2255"/>
      <c r="L1" s="2255"/>
      <c r="M1" s="2255"/>
      <c r="N1" s="2255"/>
      <c r="O1" s="2255"/>
      <c r="P1" s="2255"/>
      <c r="Q1" s="2255"/>
      <c r="R1" s="2255"/>
      <c r="S1" s="2255"/>
      <c r="T1" s="2255"/>
      <c r="U1" s="2255"/>
      <c r="V1" s="2256"/>
    </row>
    <row r="2" spans="1:22" ht="15.75" thickBot="1" x14ac:dyDescent="0.3">
      <c r="B2" s="2137" t="s">
        <v>978</v>
      </c>
    </row>
    <row r="3" spans="1:22" ht="15" customHeight="1" x14ac:dyDescent="0.25">
      <c r="L3"/>
      <c r="V3" s="3031" t="s">
        <v>446</v>
      </c>
    </row>
    <row r="4" spans="1:22" ht="15" customHeight="1" thickBot="1" x14ac:dyDescent="0.3">
      <c r="B4" s="128" t="s">
        <v>110</v>
      </c>
      <c r="C4" s="129"/>
      <c r="D4" s="129"/>
      <c r="E4" s="129"/>
      <c r="F4" s="130"/>
      <c r="G4" s="131"/>
      <c r="H4" s="4" t="s">
        <v>824</v>
      </c>
      <c r="I4" s="4"/>
      <c r="L4"/>
      <c r="Q4" s="4" t="s">
        <v>279</v>
      </c>
      <c r="V4" s="3032"/>
    </row>
    <row r="5" spans="1:22" ht="15" customHeight="1" thickBot="1" x14ac:dyDescent="0.3">
      <c r="C5" s="132" t="s">
        <v>326</v>
      </c>
      <c r="D5" s="132" t="s">
        <v>318</v>
      </c>
      <c r="F5" s="132" t="s">
        <v>57</v>
      </c>
      <c r="J5" s="3034" t="s">
        <v>825</v>
      </c>
      <c r="K5" s="3035"/>
      <c r="L5" s="2965" t="s">
        <v>766</v>
      </c>
      <c r="M5" s="2965" t="s">
        <v>837</v>
      </c>
      <c r="Q5" s="127"/>
      <c r="U5" s="236" t="s">
        <v>57</v>
      </c>
      <c r="V5" s="3033"/>
    </row>
    <row r="6" spans="1:22" ht="15" customHeight="1" thickBot="1" x14ac:dyDescent="0.3">
      <c r="A6" s="553" t="s">
        <v>240</v>
      </c>
      <c r="B6" s="1336" t="s">
        <v>319</v>
      </c>
      <c r="C6" s="237">
        <f>BGJaarBerekening</f>
        <v>2024</v>
      </c>
      <c r="D6" s="1353">
        <f>Basisgegevens!C20</f>
        <v>0</v>
      </c>
      <c r="E6" s="2968" t="s">
        <v>768</v>
      </c>
      <c r="F6" s="237">
        <f ca="1">IF(KANBIBerekend=D11,D6,C6)</f>
        <v>0</v>
      </c>
      <c r="H6" s="3036" t="s">
        <v>823</v>
      </c>
      <c r="I6" s="3037"/>
      <c r="J6" s="22" t="str">
        <f>Basisgegevens!$C$4</f>
        <v>Alimentatie Plichtig</v>
      </c>
      <c r="K6" s="22" t="str">
        <f>Basisgegevens!$D$4</f>
        <v>Alimentatie Gerechtigd</v>
      </c>
      <c r="L6" s="2967"/>
      <c r="M6" s="2966"/>
      <c r="Q6" s="266"/>
      <c r="R6" s="1565"/>
      <c r="S6" s="1565"/>
      <c r="T6" s="1570" t="str">
        <f>Basisgegevens!$C$4</f>
        <v>Alimentatie Plichtig</v>
      </c>
      <c r="U6" s="2180">
        <f ca="1">'Alimentatie 2024-02'!E$285</f>
        <v>0</v>
      </c>
      <c r="V6" s="843">
        <f ca="1">IF(U6&lt;0.0001,0,(U6/U$8)*$D$23)</f>
        <v>0</v>
      </c>
    </row>
    <row r="7" spans="1:22" ht="15" customHeight="1" thickBot="1" x14ac:dyDescent="0.3">
      <c r="A7" s="11">
        <v>121</v>
      </c>
      <c r="B7" s="1352" t="str">
        <f>Basisgegevens!C4</f>
        <v>Alimentatie Plichtig</v>
      </c>
      <c r="C7" s="1344">
        <f ca="1">IF(BG121NBI_KA_AP&lt;0,0,BG121NBI_KA_AP)</f>
        <v>0</v>
      </c>
      <c r="D7" s="1346" t="s">
        <v>580</v>
      </c>
      <c r="E7" s="2969"/>
      <c r="F7" s="1346"/>
      <c r="H7" s="2986" t="str">
        <f>Basisgegevens!M295</f>
        <v>0 t/m 17 (Tabel)</v>
      </c>
      <c r="I7" s="2987"/>
      <c r="J7" s="1588">
        <f>Basisgegevens!N295</f>
        <v>0</v>
      </c>
      <c r="K7" s="446">
        <f>Basisgegevens!O295</f>
        <v>0</v>
      </c>
      <c r="L7" s="16">
        <f>SUM(J7:K7)</f>
        <v>0</v>
      </c>
      <c r="M7" s="2966"/>
      <c r="Q7" s="1566"/>
      <c r="R7" s="1567"/>
      <c r="S7" s="1567"/>
      <c r="T7" s="1571" t="str">
        <f>Basisgegevens!$D$4</f>
        <v>Alimentatie Gerechtigd</v>
      </c>
      <c r="U7" s="445">
        <f ca="1">'Alimentatie 2024-02'!G$285</f>
        <v>0</v>
      </c>
      <c r="V7" s="844">
        <f ca="1">IF(U7&lt;0.0001,0,(U7/U$8)*$D$23)</f>
        <v>0</v>
      </c>
    </row>
    <row r="8" spans="1:22" ht="15" customHeight="1" thickBot="1" x14ac:dyDescent="0.3">
      <c r="A8" s="208">
        <v>121</v>
      </c>
      <c r="B8" s="181" t="str">
        <f>Basisgegevens!D4</f>
        <v>Alimentatie Gerechtigd</v>
      </c>
      <c r="C8" s="1345">
        <f ca="1">IF(BG121NBI_KA_AG&lt;0,0,BG121NBI_KA_AG)</f>
        <v>0</v>
      </c>
      <c r="D8" s="1350" t="s">
        <v>580</v>
      </c>
      <c r="E8" s="2969"/>
      <c r="F8" s="1347"/>
      <c r="H8" s="2988" t="str">
        <f>Basisgegevens!M296</f>
        <v>18 tot 21 (Tabel)</v>
      </c>
      <c r="I8" s="2989"/>
      <c r="J8" s="1589">
        <f>Basisgegevens!N296</f>
        <v>0</v>
      </c>
      <c r="K8" s="447">
        <f>Basisgegevens!O296</f>
        <v>0</v>
      </c>
      <c r="L8" s="17">
        <f>SUM(J8:K8)</f>
        <v>0</v>
      </c>
      <c r="M8" s="2966"/>
      <c r="Q8" s="1563"/>
      <c r="R8" s="1564"/>
      <c r="S8" s="1564"/>
      <c r="T8" s="1568" t="s">
        <v>309</v>
      </c>
      <c r="U8" s="442">
        <f ca="1">SUM(U6:U7)</f>
        <v>0</v>
      </c>
      <c r="V8" s="267">
        <f ca="1">SUM(V6:V7)</f>
        <v>0</v>
      </c>
    </row>
    <row r="9" spans="1:22" ht="15" customHeight="1" x14ac:dyDescent="0.25">
      <c r="A9" s="208"/>
      <c r="B9" s="182" t="s">
        <v>267</v>
      </c>
      <c r="C9" s="1345">
        <f>BGKGBvoorScheiding</f>
        <v>0</v>
      </c>
      <c r="D9" s="1348" t="s">
        <v>580</v>
      </c>
      <c r="E9" s="2969"/>
      <c r="F9" s="1348"/>
      <c r="H9" s="2988" t="str">
        <f>Basisgegevens!M297</f>
        <v>12 t/m 17 (MBO)</v>
      </c>
      <c r="I9" s="2989"/>
      <c r="J9" s="1589">
        <f>Basisgegevens!N297</f>
        <v>0</v>
      </c>
      <c r="K9" s="447">
        <f>Basisgegevens!O297</f>
        <v>0</v>
      </c>
      <c r="L9" s="17">
        <f>SUM(J9:K9)</f>
        <v>0</v>
      </c>
      <c r="M9" s="2966"/>
      <c r="Q9" s="1573"/>
      <c r="R9" s="1565"/>
      <c r="S9" s="1565"/>
      <c r="T9" s="1574" t="s">
        <v>770</v>
      </c>
      <c r="U9" s="2386">
        <f ca="1">D23+G41</f>
        <v>0</v>
      </c>
    </row>
    <row r="10" spans="1:22" ht="15" customHeight="1" thickBot="1" x14ac:dyDescent="0.3">
      <c r="A10" s="10"/>
      <c r="B10" s="2503" t="s">
        <v>1115</v>
      </c>
      <c r="C10" s="539">
        <f>BGOppaskostenvoorScheiding*-1</f>
        <v>0</v>
      </c>
      <c r="D10" s="1349" t="s">
        <v>580</v>
      </c>
      <c r="E10" s="2970"/>
      <c r="F10" s="1349"/>
      <c r="H10" s="2990" t="str">
        <f>Basisgegevens!M298</f>
        <v>18 tot 21 (Student)</v>
      </c>
      <c r="I10" s="2991"/>
      <c r="J10" s="1590">
        <f>Basisgegevens!N298</f>
        <v>0</v>
      </c>
      <c r="K10" s="448">
        <f>Basisgegevens!O298</f>
        <v>0</v>
      </c>
      <c r="L10" s="137">
        <f>SUM(J10:K10)</f>
        <v>0</v>
      </c>
      <c r="M10" s="2967"/>
      <c r="Q10" s="1575"/>
      <c r="R10" s="1562"/>
      <c r="S10" s="1562"/>
      <c r="T10" s="1569" t="str">
        <f ca="1">IF(U10&lt;0,"TEKORT:","Over:")</f>
        <v>Over:</v>
      </c>
      <c r="U10" s="844">
        <f ca="1">U8-H41</f>
        <v>0</v>
      </c>
    </row>
    <row r="11" spans="1:22" ht="15" customHeight="1" thickBot="1" x14ac:dyDescent="0.3">
      <c r="B11" s="1351" t="s">
        <v>268</v>
      </c>
      <c r="C11" s="133">
        <f ca="1">SUM(C7:C10)</f>
        <v>0</v>
      </c>
      <c r="D11" s="260">
        <f>IF(C6=D6,"n.v.t",Basisgegevens!C21)</f>
        <v>0</v>
      </c>
      <c r="E11" s="261">
        <f ca="1">IF(AND(D6&lt;&gt;0,D6&lt;C6,D11&gt;0,SUM(C7:C8)&lt;D11),D11,C11)</f>
        <v>0</v>
      </c>
      <c r="F11" s="133"/>
      <c r="J11" s="1606">
        <f>SUM(J7:J10)</f>
        <v>0</v>
      </c>
      <c r="K11" s="1606">
        <f>SUM(K7:K10)</f>
        <v>0</v>
      </c>
      <c r="L11" s="1606">
        <f>SUM(L7:L10)</f>
        <v>0</v>
      </c>
      <c r="M11" s="1606">
        <f>Basisgegevens!Q299</f>
        <v>0</v>
      </c>
      <c r="Q11" s="1575"/>
      <c r="R11" s="1562"/>
      <c r="S11" s="1562"/>
      <c r="T11" s="1569" t="s">
        <v>771</v>
      </c>
      <c r="U11" s="443">
        <f ca="1">IF(U10&lt;0,(U10*V11)*-1,0)</f>
        <v>0</v>
      </c>
      <c r="V11" s="449">
        <v>0.5</v>
      </c>
    </row>
    <row r="12" spans="1:22" ht="15" customHeight="1" thickBot="1" x14ac:dyDescent="0.3">
      <c r="B12" s="2584" t="str">
        <f>Basisgegevens!B289</f>
        <v>Een NBI tbv KA  &gt; € 6000, toch maximaliseren op € 6000?</v>
      </c>
      <c r="C12" s="2984"/>
      <c r="D12" s="2985"/>
      <c r="E12" s="466" t="str">
        <f>Basisgegevens!C289</f>
        <v>Ja</v>
      </c>
      <c r="J12" s="2971" t="str">
        <f>IF(L11&gt;4,"----&gt; Teveel kinderen, er wordt alleen met de oudste 4 kinderen gerekend ","")</f>
        <v/>
      </c>
      <c r="K12" s="2972"/>
      <c r="L12" s="2972"/>
      <c r="M12" s="2973"/>
      <c r="N12" s="2973"/>
      <c r="O12" s="2974"/>
      <c r="Q12" s="1576"/>
      <c r="R12" s="1567"/>
      <c r="S12" s="1567"/>
      <c r="T12" s="1572" t="s">
        <v>772</v>
      </c>
      <c r="U12" s="444">
        <f ca="1">IF(U8&lt;0.01,0,IF(U10&lt;0,(U11/K41),0))</f>
        <v>0</v>
      </c>
    </row>
    <row r="13" spans="1:22" ht="15" customHeight="1" thickBot="1" x14ac:dyDescent="0.3">
      <c r="H13" s="3029" t="str">
        <f>Basisgegevens!M301</f>
        <v>21 of ouder</v>
      </c>
      <c r="I13" s="3030"/>
      <c r="J13" s="2387">
        <f>Basisgegevens!N301</f>
        <v>0</v>
      </c>
      <c r="K13" s="2103">
        <f>Basisgegevens!O301</f>
        <v>0</v>
      </c>
      <c r="L13" s="121">
        <f>SUM(J13:K13)</f>
        <v>0</v>
      </c>
    </row>
    <row r="14" spans="1:22" ht="15" customHeight="1" x14ac:dyDescent="0.25">
      <c r="L14"/>
    </row>
    <row r="15" spans="1:22" ht="15" customHeight="1" thickBot="1" x14ac:dyDescent="0.3">
      <c r="B15" s="4" t="s">
        <v>829</v>
      </c>
      <c r="J15" s="4" t="s">
        <v>821</v>
      </c>
      <c r="L15"/>
    </row>
    <row r="16" spans="1:22" ht="15" customHeight="1" thickBot="1" x14ac:dyDescent="0.3">
      <c r="D16" s="2992" t="s">
        <v>826</v>
      </c>
      <c r="E16" s="2992" t="s">
        <v>827</v>
      </c>
      <c r="J16" s="3038" t="s">
        <v>822</v>
      </c>
      <c r="L16" s="1072"/>
      <c r="M16" s="1072"/>
      <c r="N16" s="1072"/>
      <c r="O16" s="1072"/>
      <c r="P16" s="1072"/>
      <c r="Q16" s="1072"/>
      <c r="R16" s="1072"/>
      <c r="S16" s="1072"/>
      <c r="T16" s="1072"/>
      <c r="U16" s="1072"/>
    </row>
    <row r="17" spans="1:29" ht="15" customHeight="1" thickBot="1" x14ac:dyDescent="0.3">
      <c r="B17" s="2963" t="s">
        <v>828</v>
      </c>
      <c r="C17" s="2964"/>
      <c r="D17" s="2993"/>
      <c r="E17" s="3025"/>
      <c r="J17" s="3039"/>
      <c r="K17" s="1577">
        <v>1500</v>
      </c>
      <c r="L17" s="1073">
        <v>1750</v>
      </c>
      <c r="M17" s="1073">
        <v>2000</v>
      </c>
      <c r="N17" s="1073">
        <v>2500</v>
      </c>
      <c r="O17" s="1073">
        <v>3000</v>
      </c>
      <c r="P17" s="1073">
        <v>3500</v>
      </c>
      <c r="Q17" s="1073">
        <v>4000</v>
      </c>
      <c r="R17" s="1073">
        <v>4500</v>
      </c>
      <c r="S17" s="1073">
        <v>5000</v>
      </c>
      <c r="T17" s="1073">
        <v>5500</v>
      </c>
      <c r="U17" s="1074">
        <v>6000</v>
      </c>
    </row>
    <row r="18" spans="1:29" ht="15" customHeight="1" thickBot="1" x14ac:dyDescent="0.3">
      <c r="B18" s="2975" t="s">
        <v>113</v>
      </c>
      <c r="C18" s="2976"/>
      <c r="D18" s="1591">
        <f ca="1">IF(KANBIBerekend&lt;=$K$17,0.001,IF(KANBIBerekend&gt;=$U$17,T$17,IF(AND(KANBIBerekend&gt;$K$17,KANBIBerekend&lt;$L$17),K$17,IF(AND(KANBIBerekend&gt;=$L$17,KANBIBerekend&lt;$M$17),L$17,IF(AND(KANBIBerekend&gt;=$M$17,KANBIBerekend&lt;$N$17),M$17,IF(AND(KANBIBerekend&gt;=$N$17,KANBIBerekend&lt;$O$17),N$17,IF(AND(KANBIBerekend&gt;=$O$17,KANBIBerekend&lt;$P$17),O$17,IF(AND(KANBIBerekend&gt;=$P$17,KANBIBerekend&lt;$Q$17),P$17,IF(AND(KANBIBerekend&gt;=$Q$17,KANBIBerekend&lt;$R$17),Q$17,IF(AND(KANBIBerekend&gt;=$R$17,KANBIBerekend&lt;$S$17),R$17,IF(AND(KANBIBerekend&gt;=$S$17,KANBIBerekend&lt;$T$17),S$17,IF(AND(KANBIBerekend&gt;=$T$17,KANBIBerekend&lt;$U$17),T$17,0))))))))))))</f>
        <v>1E-3</v>
      </c>
      <c r="E18" s="1591">
        <f ca="1">IF(KANBIBerekend&lt;=$K$17,K$17,IF(KANBIBerekend&gt;=$U$17,U$17,IF(AND(KANBIBerekend&gt;$K$17,KANBIBerekend&lt;$L$17),L$17,IF(AND(KANBIBerekend&gt;=$L$17,KANBIBerekend&lt;$M$17),M$17,IF(AND(KANBIBerekend&gt;=$M$17,KANBIBerekend&lt;$N$17),N$17,IF(AND(KANBIBerekend&gt;=$N$17,KANBIBerekend&lt;$O$17),O$17,IF(AND(KANBIBerekend&gt;=$O$17,KANBIBerekend&lt;$P$17),P$17,IF(AND(KANBIBerekend&gt;=$P$17,KANBIBerekend&lt;$Q$17),Q$17,IF(AND(KANBIBerekend&gt;=$Q$17,KANBIBerekend&lt;$R$17),R$17,IF(AND(KANBIBerekend&gt;=$R$17,KANBIBerekend&lt;$S$17),S$17,IF(AND(KANBIBerekend&gt;=$S$17,KANBIBerekend&lt;$T$17),T$17,IF(AND(KANBIBerekend&gt;=$T$17,KANBIBerekend&lt;$U$17),U$17,0))))))))))))</f>
        <v>1500</v>
      </c>
      <c r="J18" s="1611">
        <v>1</v>
      </c>
      <c r="K18" s="1082">
        <v>150</v>
      </c>
      <c r="L18" s="1082">
        <v>190</v>
      </c>
      <c r="M18" s="1082">
        <v>230</v>
      </c>
      <c r="N18" s="1082">
        <v>310</v>
      </c>
      <c r="O18" s="1082">
        <v>395</v>
      </c>
      <c r="P18" s="1082">
        <v>475</v>
      </c>
      <c r="Q18" s="1082">
        <v>555</v>
      </c>
      <c r="R18" s="1082">
        <v>635</v>
      </c>
      <c r="S18" s="1082">
        <v>720</v>
      </c>
      <c r="T18" s="1082">
        <v>800</v>
      </c>
      <c r="U18" s="1085">
        <v>880</v>
      </c>
    </row>
    <row r="19" spans="1:29" ht="15" customHeight="1" thickBot="1" x14ac:dyDescent="0.3">
      <c r="B19" s="2977" t="str">
        <f>"Afgelezen waarde uit tabel: Eigen aandeel"</f>
        <v>Afgelezen waarde uit tabel: Eigen aandeel</v>
      </c>
      <c r="C19" s="2976"/>
      <c r="D19" s="1592">
        <f ca="1">IF(OR(KANBIBerekend&lt;K17,KAKindRekenAantal=0),0,VLOOKUP(IF(AND(BGKind21Wel="Ja",L13+KAKindRekenAantal&lt;=4),L13+KAKindRekenAantal,KAKindRekenAantal),$J$17:$U21,1+MATCH(KANBIOndergrens,$K$17:$U$17,0),FALSE))</f>
        <v>0</v>
      </c>
      <c r="E19" s="1593">
        <f>IF(IF(BGKind21Wel="Ja",L13+KAKindRekenAantal,KAKindRekenAantal)=0,0,VLOOKUP(IF(AND(BGKind21Wel="Ja",L13+KAKindRekenAantal&lt;=4),L13+KAKindRekenAantal,KAKindRekenAantal),$J$17:$U21,1+MATCH(KANBIBovengrens,$K$17:$U$17,0),FALSE))</f>
        <v>0</v>
      </c>
      <c r="F19" s="3026" t="s">
        <v>830</v>
      </c>
      <c r="G19" s="2561"/>
      <c r="H19" s="2613"/>
      <c r="J19" s="1612">
        <v>2</v>
      </c>
      <c r="K19" s="1083">
        <v>225</v>
      </c>
      <c r="L19" s="1083">
        <v>305</v>
      </c>
      <c r="M19" s="1083">
        <v>380</v>
      </c>
      <c r="N19" s="1083">
        <v>515</v>
      </c>
      <c r="O19" s="1083">
        <v>655</v>
      </c>
      <c r="P19" s="1083">
        <v>790</v>
      </c>
      <c r="Q19" s="1083">
        <v>925</v>
      </c>
      <c r="R19" s="1083">
        <v>1060</v>
      </c>
      <c r="S19" s="1083">
        <v>1200</v>
      </c>
      <c r="T19" s="1083">
        <v>1335</v>
      </c>
      <c r="U19" s="1086">
        <v>1470</v>
      </c>
    </row>
    <row r="20" spans="1:29" ht="15" customHeight="1" x14ac:dyDescent="0.25">
      <c r="B20" s="2978" t="s">
        <v>112</v>
      </c>
      <c r="C20" s="2979"/>
      <c r="D20" s="1594">
        <f ca="1">IF(OR(KANBIBerekend&lt;K17,AND(E11&gt;=$U$17,$E$12="Ja")),0,$E$11-$D$18)</f>
        <v>0</v>
      </c>
      <c r="E20" s="1595"/>
      <c r="J20" s="1612">
        <v>3</v>
      </c>
      <c r="K20" s="1083">
        <v>245</v>
      </c>
      <c r="L20" s="1083">
        <v>310</v>
      </c>
      <c r="M20" s="1083">
        <v>380</v>
      </c>
      <c r="N20" s="1083">
        <v>535</v>
      </c>
      <c r="O20" s="1083">
        <v>690</v>
      </c>
      <c r="P20" s="1083">
        <v>845</v>
      </c>
      <c r="Q20" s="1083">
        <v>1000</v>
      </c>
      <c r="R20" s="1083">
        <v>1155</v>
      </c>
      <c r="S20" s="1083">
        <v>1310</v>
      </c>
      <c r="T20" s="1083">
        <v>1465</v>
      </c>
      <c r="U20" s="1086">
        <v>1620</v>
      </c>
    </row>
    <row r="21" spans="1:29" ht="15" customHeight="1" thickBot="1" x14ac:dyDescent="0.3">
      <c r="B21" s="2980" t="s">
        <v>114</v>
      </c>
      <c r="C21" s="2981"/>
      <c r="D21" s="1596">
        <f ca="1">IF(AND($E$11&gt;=$U$17,$E$12="Ja"),0,$E$18-$D$18)</f>
        <v>1499.999</v>
      </c>
      <c r="E21" s="262"/>
      <c r="J21" s="1613">
        <v>4</v>
      </c>
      <c r="K21" s="1084">
        <v>280</v>
      </c>
      <c r="L21" s="1084">
        <v>360</v>
      </c>
      <c r="M21" s="1084">
        <v>450</v>
      </c>
      <c r="N21" s="1084">
        <v>635</v>
      </c>
      <c r="O21" s="1084">
        <v>820</v>
      </c>
      <c r="P21" s="1084">
        <v>1005</v>
      </c>
      <c r="Q21" s="1084">
        <v>1190</v>
      </c>
      <c r="R21" s="1084">
        <v>1375</v>
      </c>
      <c r="S21" s="1084">
        <v>1560</v>
      </c>
      <c r="T21" s="1084">
        <v>1745</v>
      </c>
      <c r="U21" s="1087">
        <v>1930</v>
      </c>
    </row>
    <row r="22" spans="1:29" ht="15" customHeight="1" thickBot="1" x14ac:dyDescent="0.3">
      <c r="B22" s="2982" t="s">
        <v>115</v>
      </c>
      <c r="C22" s="2983"/>
      <c r="D22" s="1597">
        <f ca="1">IF(AND($E$11&gt;=$U$17,$E$12="Ja"),0,($D$20/$D$21)*($E$19-$D$19))</f>
        <v>0</v>
      </c>
      <c r="E22" s="262"/>
      <c r="L22"/>
    </row>
    <row r="23" spans="1:29" ht="15" customHeight="1" thickBot="1" x14ac:dyDescent="0.3">
      <c r="B23" s="2961" t="s">
        <v>320</v>
      </c>
      <c r="C23" s="2962"/>
      <c r="D23" s="671">
        <f ca="1">IF(AND($E$11&gt;=$U$17,$E$12="Ja"),$E$19,(($E$11-$D$18)/(($E$18-$D$18))*($E$19-$D$19))+$D$19)</f>
        <v>0</v>
      </c>
      <c r="E23" s="453"/>
      <c r="L23"/>
    </row>
    <row r="24" spans="1:29" ht="15" customHeight="1" thickBot="1" x14ac:dyDescent="0.3">
      <c r="M24" s="3013" t="str">
        <f>BGPartner_AP</f>
        <v>Alimentatie Plichtig</v>
      </c>
      <c r="N24" s="3014"/>
      <c r="O24" s="3015"/>
      <c r="P24" s="3016"/>
      <c r="Q24" s="3013" t="str">
        <f>BGPartner_AG</f>
        <v>Alimentatie Gerechtigd</v>
      </c>
      <c r="R24" s="3014"/>
      <c r="S24" s="3015"/>
      <c r="T24" s="3016"/>
    </row>
    <row r="25" spans="1:29" ht="15" customHeight="1" thickBot="1" x14ac:dyDescent="0.3">
      <c r="F25" s="3009" t="s">
        <v>645</v>
      </c>
      <c r="G25" s="3042" t="s">
        <v>275</v>
      </c>
      <c r="H25" s="2672" t="s">
        <v>274</v>
      </c>
      <c r="I25" s="2"/>
      <c r="J25" s="2672" t="s">
        <v>277</v>
      </c>
      <c r="K25" s="2672" t="s">
        <v>832</v>
      </c>
      <c r="L25" s="2792" t="s">
        <v>831</v>
      </c>
      <c r="M25" s="2661" t="s">
        <v>310</v>
      </c>
      <c r="N25" s="3009" t="s">
        <v>262</v>
      </c>
      <c r="O25" s="3017" t="s">
        <v>843</v>
      </c>
      <c r="P25" s="2665" t="s">
        <v>457</v>
      </c>
      <c r="Q25" s="2661" t="s">
        <v>310</v>
      </c>
      <c r="R25" s="3009" t="s">
        <v>262</v>
      </c>
      <c r="S25" s="3017" t="s">
        <v>843</v>
      </c>
      <c r="T25" s="3017" t="s">
        <v>457</v>
      </c>
    </row>
    <row r="26" spans="1:29" ht="15" customHeight="1" x14ac:dyDescent="0.25">
      <c r="F26" s="3010"/>
      <c r="G26" s="3043"/>
      <c r="H26" s="2671"/>
      <c r="I26" s="2792" t="str">
        <f>Basisgegevens!C293</f>
        <v>Kind valt onder de zorg / regie van</v>
      </c>
      <c r="J26" s="2671"/>
      <c r="K26" s="2671"/>
      <c r="L26" s="2871"/>
      <c r="M26" s="3021"/>
      <c r="N26" s="3010"/>
      <c r="O26" s="3018"/>
      <c r="P26" s="3023"/>
      <c r="Q26" s="3021"/>
      <c r="R26" s="3010"/>
      <c r="S26" s="3018"/>
      <c r="T26" s="3018"/>
    </row>
    <row r="27" spans="1:29" ht="15" customHeight="1" thickBot="1" x14ac:dyDescent="0.3">
      <c r="F27" s="3040"/>
      <c r="G27" s="3044"/>
      <c r="H27" s="3046"/>
      <c r="I27" s="2871"/>
      <c r="J27" s="3027"/>
      <c r="K27" s="3027"/>
      <c r="L27" s="2790"/>
      <c r="M27" s="3022"/>
      <c r="N27" s="3011"/>
      <c r="O27" s="3019"/>
      <c r="P27" s="3024"/>
      <c r="Q27" s="3022"/>
      <c r="R27" s="3011"/>
      <c r="S27" s="3019"/>
      <c r="T27" s="3019"/>
    </row>
    <row r="28" spans="1:29" ht="15" customHeight="1" thickBot="1" x14ac:dyDescent="0.3">
      <c r="A28" s="776" t="s">
        <v>240</v>
      </c>
      <c r="B28" s="986" t="s">
        <v>272</v>
      </c>
      <c r="C28" s="244" t="s">
        <v>264</v>
      </c>
      <c r="D28" s="244" t="s">
        <v>273</v>
      </c>
      <c r="E28" s="1557" t="s">
        <v>618</v>
      </c>
      <c r="F28" s="3041"/>
      <c r="G28" s="3045"/>
      <c r="H28" s="3046"/>
      <c r="I28" s="2680"/>
      <c r="J28" s="3028"/>
      <c r="K28" s="3028"/>
      <c r="L28" s="2746"/>
      <c r="M28" s="2662"/>
      <c r="N28" s="3012"/>
      <c r="O28" s="3020"/>
      <c r="P28" s="2666"/>
      <c r="Q28" s="2662"/>
      <c r="R28" s="3012"/>
      <c r="S28" s="3020"/>
      <c r="T28" s="3020"/>
      <c r="U28" s="3000" t="s">
        <v>340</v>
      </c>
      <c r="V28" s="3001"/>
      <c r="W28" s="3001"/>
      <c r="X28" s="3001"/>
      <c r="Y28" s="3001"/>
      <c r="Z28" s="3001"/>
      <c r="AA28" s="3001"/>
      <c r="AB28" s="3001"/>
      <c r="AC28" s="3002"/>
    </row>
    <row r="29" spans="1:29" ht="15" customHeight="1" x14ac:dyDescent="0.25">
      <c r="A29" s="812">
        <v>1</v>
      </c>
      <c r="B29" s="982" t="str">
        <f>IF(Basisgegevens!B295="","--",Basisgegevens!B295)</f>
        <v>--</v>
      </c>
      <c r="C29" s="983" t="str">
        <f>IF(Basisgegevens!E295="","--",Basisgegevens!E295)</f>
        <v>--</v>
      </c>
      <c r="D29" s="984" t="str">
        <f>IF(Basisgegevens!E312="","--",Basisgegevens!E312)</f>
        <v>--</v>
      </c>
      <c r="E29" s="985" t="str">
        <f>IF(D29="--","--",IF(AND($D29&gt;=21,BGKind21Wel="Nee"),"n.v.t",Basisgegevens!F312))</f>
        <v>--</v>
      </c>
      <c r="F29" s="1578" t="str">
        <f>IF(D29="--","--",IF(OR(AND($D29&gt;=21,BGKind21Wel="Nee"),Basisgegevens!$F312="Zelfvoorzienend"),"n.v.t",IF(OR(LEFT(Basisgegevens!$F312,3)="MBO",LEFT(Basisgegevens!$F312,6)="HBO/WO"),Basisgegevens!$J312,KAEigenAandeel/KAKindTotaalAantal)))</f>
        <v>--</v>
      </c>
      <c r="G29" s="1586">
        <f>IF(OR(E29="--",E29="???",F29="n.v.t"),0,Basisgegevens!F295)</f>
        <v>0</v>
      </c>
      <c r="H29" s="460">
        <f>IF(OR(F29="n.v.t",F29="--"),0,F29+G29)</f>
        <v>0</v>
      </c>
      <c r="I29" s="457" t="str">
        <f>IF(Basisgegevens!C295=1,BGPartner_AP,IF(Basisgegevens!D295=1,BGPartner_AG,"--"))</f>
        <v>--</v>
      </c>
      <c r="J29" s="1608">
        <f>Basisgegevens!G295</f>
        <v>0.15</v>
      </c>
      <c r="K29" s="211">
        <f t="shared" ref="K29:K40" si="0">IF(OR($F29="n.v.t",$F29="--",$F29&lt;0),0,(KAEigenAandeel/KAKindTotaalAantal)*J29)</f>
        <v>0</v>
      </c>
      <c r="L29" s="171">
        <f t="shared" ref="L29:L40" si="1">IF(OR($F29="n.v.t",$F29="--",$F29&lt;0),0,IF(K29-(K29*KAKortingDraagkracht)&lt;0.01,0,K29-(K29*KAKortingDraagkracht)))</f>
        <v>0</v>
      </c>
      <c r="M29" s="211">
        <f t="shared" ref="M29:M40" si="2">IF(OR($F29="n.v.t",$F29="--",$F29&lt;0),0,IF(KADraagkrachtTekort&gt;0,($U$6/$U$8)*$H29,($U$6/$U$8)*$H29*($U$8/$H$41)))</f>
        <v>0</v>
      </c>
      <c r="N29" s="1622">
        <f t="shared" ref="N29:N40" si="3">IF(OR($F29="n.v.t",$F29="--",,$F29&lt;0),0,IF(BGPartner_AP=$I29,0,IF(O29&lt;0,K29+O29,K29)))</f>
        <v>0</v>
      </c>
      <c r="O29" s="1623">
        <f t="shared" ref="O29:O40" si="4">IF(OR($F29="n.v.t",$F29="--",,$F29&lt;0),0,IF(BGPartner_AP=$I29,IF(AND(Q29=0,S29&lt;0),L29,IF(AND(Q29&gt;0,S29&lt;0),L29-Q29,0)),M29-$L29))</f>
        <v>0</v>
      </c>
      <c r="P29" s="1619">
        <f t="shared" ref="P29:P40" si="5">IF(OR($F29="n.v.t",$F29="--",$F29&lt;0),0,IF(BGPartner_AP=$I29,IF(OR(AND(Q29=0,S29&lt;0),AND(Q29&gt;0,S29&lt;0)),H29-K29,H29-K29-S29),0))</f>
        <v>0</v>
      </c>
      <c r="Q29" s="211">
        <f t="shared" ref="Q29:Q40" si="6">IF(OR($F29="n.v.t",$F29="--",F29&lt;0),0,IF(KADraagkrachtTekort&gt;0,($U$7/$U$8)*$H29,($U$7/$U$8)*$H29*($U$8/$H$41)))</f>
        <v>0</v>
      </c>
      <c r="R29" s="1622">
        <f t="shared" ref="R29:R40" si="7">IF(OR($F29="n.v.t",$F29="--",$F29&lt;0),0,IF(BGPartner_AG=$I29,0,IF(S29&lt;0,K29+S29,K29)))</f>
        <v>0</v>
      </c>
      <c r="S29" s="1623">
        <f t="shared" ref="S29:S40" si="8">IF(OR($F29="n.v.t",$F29="--",$F29&lt;0),0,IF(BGPartner_AG=$I29,IF(AND(M29=0,O29&lt;0),L29,IF(AND(M29&gt;0,O29&lt;0),L29-Q29,0)),Q29-$L29))</f>
        <v>0</v>
      </c>
      <c r="T29" s="1619">
        <f t="shared" ref="T29:T40" si="9">IF(OR($F29="n.v.t",$F29="--",$F29&lt;0),0,IF(BGPartner_AG=$I29,IF(OR(AND(M29=0,O29&lt;0),AND(M29&gt;0,O29&lt;0)),H29-K29,H29-K29-O29),0))</f>
        <v>0</v>
      </c>
      <c r="U29" s="3003" t="str">
        <f t="shared" ref="U29:U40" si="10">IF(OR($F29="n.v.t",$F29="--"),"--",IF(O29&lt;0,CONCATENATE("Negatieve zorgkorting bij ",$M$24,", deze toewijzen aan ",$Q$24),IF(S29&lt;0,CONCATENATE("Negatieve zorgkorting bij ",$Q$24,", deze toewijzen aan ",$M$24),"--")))</f>
        <v>--</v>
      </c>
      <c r="V29" s="3004"/>
      <c r="W29" s="3004"/>
      <c r="X29" s="3004"/>
      <c r="Y29" s="3004"/>
      <c r="Z29" s="3004"/>
      <c r="AA29" s="3004"/>
      <c r="AB29" s="3004"/>
      <c r="AC29" s="3005"/>
    </row>
    <row r="30" spans="1:29" ht="15" customHeight="1" x14ac:dyDescent="0.25">
      <c r="A30" s="813">
        <v>2</v>
      </c>
      <c r="B30" s="815" t="str">
        <f>IF(Basisgegevens!B296="","--",Basisgegevens!B296)</f>
        <v>--</v>
      </c>
      <c r="C30" s="139" t="str">
        <f>IF(Basisgegevens!E296="","--",Basisgegevens!E296)</f>
        <v>--</v>
      </c>
      <c r="D30" s="140" t="str">
        <f>IF(Basisgegevens!E313="","--",Basisgegevens!E313)</f>
        <v>--</v>
      </c>
      <c r="E30" s="816" t="str">
        <f>IF(D30="--","--",IF(AND($D30&gt;=21,BGKind21Wel="Nee"),"n.v.t",Basisgegevens!F313))</f>
        <v>--</v>
      </c>
      <c r="F30" s="1579" t="str">
        <f>IF(D30="--","--",IF(OR(AND($D30&gt;=21,BGKind21Wel="Nee"),Basisgegevens!$F313="Zelfvoorzienend"),"n.v.t",IF(OR(LEFT(Basisgegevens!$F313,3)="MBO",LEFT(Basisgegevens!$F313,6)="HBO/WO"),Basisgegevens!$J313,KAEigenAandeel/KAKindTotaalAantal)))</f>
        <v>--</v>
      </c>
      <c r="G30" s="1584">
        <f>IF(OR(E30="--",E30="???",F30="n.v.t"),0,Basisgegevens!F296)</f>
        <v>0</v>
      </c>
      <c r="H30" s="461">
        <f t="shared" ref="H30:H34" si="11">IF(OR(F30="n.v.t",F30="--"),0,F30+G30)</f>
        <v>0</v>
      </c>
      <c r="I30" s="458" t="str">
        <f>IF(Basisgegevens!C296=1,BGPartner_AP,IF(Basisgegevens!D296=1,BGPartner_AG,"--"))</f>
        <v>--</v>
      </c>
      <c r="J30" s="1609">
        <f>Basisgegevens!G296</f>
        <v>0.15</v>
      </c>
      <c r="K30" s="211">
        <f t="shared" si="0"/>
        <v>0</v>
      </c>
      <c r="L30" s="171">
        <f t="shared" si="1"/>
        <v>0</v>
      </c>
      <c r="M30" s="168">
        <f t="shared" si="2"/>
        <v>0</v>
      </c>
      <c r="N30" s="1624">
        <f t="shared" si="3"/>
        <v>0</v>
      </c>
      <c r="O30" s="1625">
        <f t="shared" si="4"/>
        <v>0</v>
      </c>
      <c r="P30" s="1620">
        <f t="shared" si="5"/>
        <v>0</v>
      </c>
      <c r="Q30" s="168">
        <f t="shared" si="6"/>
        <v>0</v>
      </c>
      <c r="R30" s="1624">
        <f t="shared" si="7"/>
        <v>0</v>
      </c>
      <c r="S30" s="1625">
        <f t="shared" si="8"/>
        <v>0</v>
      </c>
      <c r="T30" s="1620">
        <f t="shared" si="9"/>
        <v>0</v>
      </c>
      <c r="U30" s="2994" t="str">
        <f t="shared" si="10"/>
        <v>--</v>
      </c>
      <c r="V30" s="2995"/>
      <c r="W30" s="2995"/>
      <c r="X30" s="2995"/>
      <c r="Y30" s="2995"/>
      <c r="Z30" s="2995"/>
      <c r="AA30" s="2995"/>
      <c r="AB30" s="2995"/>
      <c r="AC30" s="2996"/>
    </row>
    <row r="31" spans="1:29" ht="15" customHeight="1" x14ac:dyDescent="0.25">
      <c r="A31" s="813">
        <v>3</v>
      </c>
      <c r="B31" s="815" t="str">
        <f>IF(Basisgegevens!B297="","--",Basisgegevens!B297)</f>
        <v>--</v>
      </c>
      <c r="C31" s="139" t="str">
        <f>IF(Basisgegevens!E297="","--",Basisgegevens!E297)</f>
        <v>--</v>
      </c>
      <c r="D31" s="140" t="str">
        <f>IF(Basisgegevens!E314="","--",Basisgegevens!E314)</f>
        <v>--</v>
      </c>
      <c r="E31" s="816" t="str">
        <f>IF(D31="--","--",IF(AND($D31&gt;=21,BGKind21Wel="Nee"),"n.v.t",Basisgegevens!F314))</f>
        <v>--</v>
      </c>
      <c r="F31" s="1579" t="str">
        <f>IF(D31="--","--",IF(OR(AND($D31&gt;=21,BGKind21Wel="Nee"),Basisgegevens!$F314="Zelfvoorzienend"),"n.v.t",IF(OR(LEFT(Basisgegevens!$F314,3)="MBO",LEFT(Basisgegevens!$F314,6)="HBO/WO"),Basisgegevens!$J314,KAEigenAandeel/KAKindTotaalAantal)))</f>
        <v>--</v>
      </c>
      <c r="G31" s="1584">
        <f>IF(OR(E31="--",E31="???",F31="n.v.t"),0,Basisgegevens!F297)</f>
        <v>0</v>
      </c>
      <c r="H31" s="461">
        <f t="shared" si="11"/>
        <v>0</v>
      </c>
      <c r="I31" s="458" t="str">
        <f>IF(Basisgegevens!C297=1,BGPartner_AP,IF(Basisgegevens!D297=1,BGPartner_AG,"--"))</f>
        <v>--</v>
      </c>
      <c r="J31" s="1609">
        <f>Basisgegevens!G297</f>
        <v>0.15</v>
      </c>
      <c r="K31" s="211">
        <f t="shared" si="0"/>
        <v>0</v>
      </c>
      <c r="L31" s="171">
        <f t="shared" si="1"/>
        <v>0</v>
      </c>
      <c r="M31" s="168">
        <f t="shared" si="2"/>
        <v>0</v>
      </c>
      <c r="N31" s="1624">
        <f t="shared" si="3"/>
        <v>0</v>
      </c>
      <c r="O31" s="1625">
        <f t="shared" si="4"/>
        <v>0</v>
      </c>
      <c r="P31" s="1620">
        <f t="shared" si="5"/>
        <v>0</v>
      </c>
      <c r="Q31" s="168">
        <f t="shared" si="6"/>
        <v>0</v>
      </c>
      <c r="R31" s="1624">
        <f t="shared" si="7"/>
        <v>0</v>
      </c>
      <c r="S31" s="1625">
        <f t="shared" si="8"/>
        <v>0</v>
      </c>
      <c r="T31" s="1620">
        <f t="shared" si="9"/>
        <v>0</v>
      </c>
      <c r="U31" s="2994" t="str">
        <f t="shared" si="10"/>
        <v>--</v>
      </c>
      <c r="V31" s="2995"/>
      <c r="W31" s="2995"/>
      <c r="X31" s="2995"/>
      <c r="Y31" s="2995"/>
      <c r="Z31" s="2995"/>
      <c r="AA31" s="2995"/>
      <c r="AB31" s="2995"/>
      <c r="AC31" s="2996"/>
    </row>
    <row r="32" spans="1:29" ht="15" customHeight="1" x14ac:dyDescent="0.25">
      <c r="A32" s="813">
        <v>4</v>
      </c>
      <c r="B32" s="815" t="str">
        <f>IF(Basisgegevens!B298="","--",Basisgegevens!B298)</f>
        <v>--</v>
      </c>
      <c r="C32" s="139" t="str">
        <f>IF(Basisgegevens!E298="","--",Basisgegevens!E298)</f>
        <v>--</v>
      </c>
      <c r="D32" s="140" t="str">
        <f>IF(Basisgegevens!E315="","--",Basisgegevens!E315)</f>
        <v>--</v>
      </c>
      <c r="E32" s="816" t="str">
        <f>IF(D32="--","--",IF(AND($D32&gt;=21,BGKind21Wel="Nee"),"n.v.t",Basisgegevens!F315))</f>
        <v>--</v>
      </c>
      <c r="F32" s="1579" t="str">
        <f>IF(D32="--","--",IF(OR(AND($D32&gt;=21,BGKind21Wel="Nee"),Basisgegevens!$F315="Zelfvoorzienend"),"n.v.t",IF(OR(LEFT(Basisgegevens!$F315,3)="MBO",LEFT(Basisgegevens!$F315,6)="HBO/WO"),Basisgegevens!$J315,KAEigenAandeel/KAKindTotaalAantal)))</f>
        <v>--</v>
      </c>
      <c r="G32" s="1584">
        <f>IF(OR(E32="--",E32="???",F32="n.v.t"),0,Basisgegevens!F298)</f>
        <v>0</v>
      </c>
      <c r="H32" s="461">
        <f t="shared" si="11"/>
        <v>0</v>
      </c>
      <c r="I32" s="458" t="str">
        <f>IF(Basisgegevens!C298=1,BGPartner_AP,IF(Basisgegevens!D298=1,BGPartner_AG,"--"))</f>
        <v>--</v>
      </c>
      <c r="J32" s="1609">
        <f>Basisgegevens!G298</f>
        <v>0.15</v>
      </c>
      <c r="K32" s="211">
        <f t="shared" si="0"/>
        <v>0</v>
      </c>
      <c r="L32" s="171">
        <f t="shared" si="1"/>
        <v>0</v>
      </c>
      <c r="M32" s="168">
        <f t="shared" si="2"/>
        <v>0</v>
      </c>
      <c r="N32" s="1624">
        <f t="shared" si="3"/>
        <v>0</v>
      </c>
      <c r="O32" s="1625">
        <f t="shared" si="4"/>
        <v>0</v>
      </c>
      <c r="P32" s="1620">
        <f t="shared" si="5"/>
        <v>0</v>
      </c>
      <c r="Q32" s="168">
        <f t="shared" si="6"/>
        <v>0</v>
      </c>
      <c r="R32" s="1624">
        <f t="shared" si="7"/>
        <v>0</v>
      </c>
      <c r="S32" s="1625">
        <f t="shared" si="8"/>
        <v>0</v>
      </c>
      <c r="T32" s="1620">
        <f t="shared" si="9"/>
        <v>0</v>
      </c>
      <c r="U32" s="2994" t="str">
        <f t="shared" si="10"/>
        <v>--</v>
      </c>
      <c r="V32" s="2995"/>
      <c r="W32" s="2995"/>
      <c r="X32" s="2995"/>
      <c r="Y32" s="2995"/>
      <c r="Z32" s="2995"/>
      <c r="AA32" s="2995"/>
      <c r="AB32" s="2995"/>
      <c r="AC32" s="2996"/>
    </row>
    <row r="33" spans="1:29" ht="15" customHeight="1" x14ac:dyDescent="0.25">
      <c r="A33" s="813">
        <v>5</v>
      </c>
      <c r="B33" s="815" t="str">
        <f>IF(Basisgegevens!B299="","--",Basisgegevens!B299)</f>
        <v>--</v>
      </c>
      <c r="C33" s="139" t="str">
        <f>IF(Basisgegevens!E299="","--",Basisgegevens!E299)</f>
        <v>--</v>
      </c>
      <c r="D33" s="140" t="str">
        <f>IF(Basisgegevens!E316="","--",Basisgegevens!E316)</f>
        <v>--</v>
      </c>
      <c r="E33" s="816" t="str">
        <f>IF(D33="--","--",IF(AND($D33&gt;=21,BGKind21Wel="Nee"),"n.v.t",Basisgegevens!F316))</f>
        <v>--</v>
      </c>
      <c r="F33" s="1579" t="str">
        <f>IF(D33="--","--",IF(OR(AND($D33&gt;=21,BGKind21Wel="Nee"),Basisgegevens!$F316="Zelfvoorzienend"),"n.v.t",IF(OR(LEFT(Basisgegevens!$F316,3)="MBO",LEFT(Basisgegevens!$F316,6)="HBO/WO"),Basisgegevens!$J316,KAEigenAandeel/KAKindTotaalAantal)))</f>
        <v>--</v>
      </c>
      <c r="G33" s="1584">
        <f>IF(OR(E33="--",E33="???",F33="n.v.t"),0,Basisgegevens!F299)</f>
        <v>0</v>
      </c>
      <c r="H33" s="461">
        <f t="shared" si="11"/>
        <v>0</v>
      </c>
      <c r="I33" s="458" t="str">
        <f>IF(Basisgegevens!C299=1,BGPartner_AP,IF(Basisgegevens!D299=1,BGPartner_AG,"--"))</f>
        <v>--</v>
      </c>
      <c r="J33" s="1609">
        <f>Basisgegevens!G299</f>
        <v>0.15</v>
      </c>
      <c r="K33" s="211">
        <f t="shared" si="0"/>
        <v>0</v>
      </c>
      <c r="L33" s="171">
        <f t="shared" si="1"/>
        <v>0</v>
      </c>
      <c r="M33" s="168">
        <f t="shared" si="2"/>
        <v>0</v>
      </c>
      <c r="N33" s="1624">
        <f t="shared" si="3"/>
        <v>0</v>
      </c>
      <c r="O33" s="1625">
        <f t="shared" si="4"/>
        <v>0</v>
      </c>
      <c r="P33" s="1620">
        <f t="shared" si="5"/>
        <v>0</v>
      </c>
      <c r="Q33" s="168">
        <f t="shared" si="6"/>
        <v>0</v>
      </c>
      <c r="R33" s="1624">
        <f t="shared" si="7"/>
        <v>0</v>
      </c>
      <c r="S33" s="1625">
        <f t="shared" si="8"/>
        <v>0</v>
      </c>
      <c r="T33" s="1620">
        <f t="shared" si="9"/>
        <v>0</v>
      </c>
      <c r="U33" s="2994" t="str">
        <f t="shared" si="10"/>
        <v>--</v>
      </c>
      <c r="V33" s="2995"/>
      <c r="W33" s="2995"/>
      <c r="X33" s="2995"/>
      <c r="Y33" s="2995"/>
      <c r="Z33" s="2995"/>
      <c r="AA33" s="2995"/>
      <c r="AB33" s="2995"/>
      <c r="AC33" s="2996"/>
    </row>
    <row r="34" spans="1:29" ht="15" customHeight="1" x14ac:dyDescent="0.25">
      <c r="A34" s="813">
        <v>6</v>
      </c>
      <c r="B34" s="815" t="str">
        <f>IF(Basisgegevens!B300="","--",Basisgegevens!B300)</f>
        <v>--</v>
      </c>
      <c r="C34" s="139" t="str">
        <f>IF(Basisgegevens!E300="","--",Basisgegevens!E300)</f>
        <v>--</v>
      </c>
      <c r="D34" s="140" t="str">
        <f>IF(Basisgegevens!E317="","--",Basisgegevens!E317)</f>
        <v>--</v>
      </c>
      <c r="E34" s="816" t="str">
        <f>IF(D34="--","--",IF(AND($D34&gt;=21,BGKind21Wel="Nee"),"n.v.t",Basisgegevens!F317))</f>
        <v>--</v>
      </c>
      <c r="F34" s="1579" t="str">
        <f>IF(D34="--","--",IF(OR(AND($D34&gt;=21,BGKind21Wel="Nee"),Basisgegevens!$F317="Zelfvoorzienend"),"n.v.t",IF(OR(LEFT(Basisgegevens!$F317,3)="MBO",LEFT(Basisgegevens!$F317,6)="HBO/WO"),Basisgegevens!$J317,KAEigenAandeel/KAKindTotaalAantal)))</f>
        <v>--</v>
      </c>
      <c r="G34" s="1584">
        <f>IF(OR(E34="--",E34="???",F34="n.v.t"),0,Basisgegevens!F300)</f>
        <v>0</v>
      </c>
      <c r="H34" s="461">
        <f t="shared" si="11"/>
        <v>0</v>
      </c>
      <c r="I34" s="458" t="str">
        <f>IF(Basisgegevens!C300=1,BGPartner_AP,IF(Basisgegevens!D300=1,BGPartner_AG,"--"))</f>
        <v>--</v>
      </c>
      <c r="J34" s="1609">
        <f>Basisgegevens!G300</f>
        <v>0.15</v>
      </c>
      <c r="K34" s="211">
        <f t="shared" si="0"/>
        <v>0</v>
      </c>
      <c r="L34" s="171">
        <f t="shared" si="1"/>
        <v>0</v>
      </c>
      <c r="M34" s="168">
        <f t="shared" si="2"/>
        <v>0</v>
      </c>
      <c r="N34" s="1624">
        <f t="shared" si="3"/>
        <v>0</v>
      </c>
      <c r="O34" s="1625">
        <f t="shared" si="4"/>
        <v>0</v>
      </c>
      <c r="P34" s="1620">
        <f t="shared" si="5"/>
        <v>0</v>
      </c>
      <c r="Q34" s="168">
        <f t="shared" si="6"/>
        <v>0</v>
      </c>
      <c r="R34" s="1624">
        <f t="shared" si="7"/>
        <v>0</v>
      </c>
      <c r="S34" s="1625">
        <f t="shared" si="8"/>
        <v>0</v>
      </c>
      <c r="T34" s="1620">
        <f t="shared" si="9"/>
        <v>0</v>
      </c>
      <c r="U34" s="2994" t="str">
        <f t="shared" si="10"/>
        <v>--</v>
      </c>
      <c r="V34" s="2995"/>
      <c r="W34" s="2995"/>
      <c r="X34" s="2995"/>
      <c r="Y34" s="2995"/>
      <c r="Z34" s="2995"/>
      <c r="AA34" s="2995"/>
      <c r="AB34" s="2995"/>
      <c r="AC34" s="2996"/>
    </row>
    <row r="35" spans="1:29" ht="15" customHeight="1" x14ac:dyDescent="0.25">
      <c r="A35" s="813">
        <v>7</v>
      </c>
      <c r="B35" s="815" t="str">
        <f>IF(Basisgegevens!B301="","--",Basisgegevens!B301)</f>
        <v>--</v>
      </c>
      <c r="C35" s="139" t="str">
        <f>IF(Basisgegevens!E301="","--",Basisgegevens!E301)</f>
        <v>--</v>
      </c>
      <c r="D35" s="140" t="str">
        <f>IF(Basisgegevens!E318="","--",Basisgegevens!E318)</f>
        <v>--</v>
      </c>
      <c r="E35" s="816" t="str">
        <f>IF(D35="--","--",IF(AND($D35&gt;=21,BGKind21Wel="Nee"),"n.v.t",Basisgegevens!F318))</f>
        <v>--</v>
      </c>
      <c r="F35" s="1579" t="str">
        <f>IF(D35="--","--",IF(OR(AND($D35&gt;=21,BGKind21Wel="Nee"),Basisgegevens!$F318="Zelfvoorzienend"),"n.v.t",IF(OR(LEFT(Basisgegevens!$F318,3)="MBO",LEFT(Basisgegevens!$F318,6)="HBO/WO"),Basisgegevens!$J318,KAEigenAandeel/KAKindTotaalAantal)))</f>
        <v>--</v>
      </c>
      <c r="G35" s="1584">
        <f>IF(OR(E35="--",E35="???",F35="n.v.t"),0,Basisgegevens!F301)</f>
        <v>0</v>
      </c>
      <c r="H35" s="461">
        <f>IF(OR(F35="n.v.t",F35="--"),0,F35+G35)</f>
        <v>0</v>
      </c>
      <c r="I35" s="458" t="str">
        <f>IF(Basisgegevens!C301=1,BGPartner_AP,IF(Basisgegevens!D301=1,BGPartner_AG,"--"))</f>
        <v>--</v>
      </c>
      <c r="J35" s="1609">
        <f>Basisgegevens!G301</f>
        <v>0.15</v>
      </c>
      <c r="K35" s="211">
        <f t="shared" si="0"/>
        <v>0</v>
      </c>
      <c r="L35" s="171">
        <f t="shared" si="1"/>
        <v>0</v>
      </c>
      <c r="M35" s="168">
        <f t="shared" si="2"/>
        <v>0</v>
      </c>
      <c r="N35" s="1624">
        <f t="shared" si="3"/>
        <v>0</v>
      </c>
      <c r="O35" s="1625">
        <f t="shared" si="4"/>
        <v>0</v>
      </c>
      <c r="P35" s="1620">
        <f t="shared" si="5"/>
        <v>0</v>
      </c>
      <c r="Q35" s="168">
        <f t="shared" si="6"/>
        <v>0</v>
      </c>
      <c r="R35" s="1624">
        <f t="shared" si="7"/>
        <v>0</v>
      </c>
      <c r="S35" s="1625">
        <f t="shared" si="8"/>
        <v>0</v>
      </c>
      <c r="T35" s="1620">
        <f t="shared" si="9"/>
        <v>0</v>
      </c>
      <c r="U35" s="2994" t="str">
        <f t="shared" si="10"/>
        <v>--</v>
      </c>
      <c r="V35" s="2995"/>
      <c r="W35" s="2995"/>
      <c r="X35" s="2995"/>
      <c r="Y35" s="2995"/>
      <c r="Z35" s="2995"/>
      <c r="AA35" s="2995"/>
      <c r="AB35" s="2995"/>
      <c r="AC35" s="2996"/>
    </row>
    <row r="36" spans="1:29" ht="15" customHeight="1" x14ac:dyDescent="0.25">
      <c r="A36" s="813">
        <v>8</v>
      </c>
      <c r="B36" s="815" t="str">
        <f>IF(Basisgegevens!B302="","--",Basisgegevens!B302)</f>
        <v>--</v>
      </c>
      <c r="C36" s="139" t="str">
        <f>IF(Basisgegevens!E302="","--",Basisgegevens!E302)</f>
        <v>--</v>
      </c>
      <c r="D36" s="140" t="str">
        <f>IF(Basisgegevens!E319="","--",Basisgegevens!E319)</f>
        <v>--</v>
      </c>
      <c r="E36" s="816" t="str">
        <f>IF(D36="--","--",IF(AND($D36&gt;=21,BGKind21Wel="Nee"),"n.v.t",Basisgegevens!F319))</f>
        <v>--</v>
      </c>
      <c r="F36" s="1579" t="str">
        <f>IF(D36="--","--",IF(OR(AND($D36&gt;=21,BGKind21Wel="Nee"),Basisgegevens!$F319="Zelfvoorzienend"),"n.v.t",IF(OR(LEFT(Basisgegevens!$F319,3)="MBO",LEFT(Basisgegevens!$F319,6)="HBO/WO"),Basisgegevens!$J319,KAEigenAandeel/KAKindTotaalAantal)))</f>
        <v>--</v>
      </c>
      <c r="G36" s="1584">
        <f>IF(OR(E36="--",E36="???",F36="n.v.t"),0,Basisgegevens!F302)</f>
        <v>0</v>
      </c>
      <c r="H36" s="461">
        <f t="shared" ref="H36:H40" si="12">IF(OR(F36="n.v.t",F36="--"),0,F36+G36)</f>
        <v>0</v>
      </c>
      <c r="I36" s="458" t="str">
        <f>IF(Basisgegevens!C302=1,BGPartner_AP,IF(Basisgegevens!D302=1,BGPartner_AG,"--"))</f>
        <v>--</v>
      </c>
      <c r="J36" s="1609">
        <f>Basisgegevens!G302</f>
        <v>0.15</v>
      </c>
      <c r="K36" s="211">
        <f t="shared" si="0"/>
        <v>0</v>
      </c>
      <c r="L36" s="171">
        <f t="shared" si="1"/>
        <v>0</v>
      </c>
      <c r="M36" s="168">
        <f t="shared" si="2"/>
        <v>0</v>
      </c>
      <c r="N36" s="1624">
        <f t="shared" si="3"/>
        <v>0</v>
      </c>
      <c r="O36" s="1625">
        <f t="shared" si="4"/>
        <v>0</v>
      </c>
      <c r="P36" s="1620">
        <f t="shared" si="5"/>
        <v>0</v>
      </c>
      <c r="Q36" s="168">
        <f t="shared" si="6"/>
        <v>0</v>
      </c>
      <c r="R36" s="1624">
        <f t="shared" si="7"/>
        <v>0</v>
      </c>
      <c r="S36" s="1625">
        <f t="shared" si="8"/>
        <v>0</v>
      </c>
      <c r="T36" s="1620">
        <f t="shared" si="9"/>
        <v>0</v>
      </c>
      <c r="U36" s="2994" t="str">
        <f t="shared" si="10"/>
        <v>--</v>
      </c>
      <c r="V36" s="2995"/>
      <c r="W36" s="2995"/>
      <c r="X36" s="2995"/>
      <c r="Y36" s="2995"/>
      <c r="Z36" s="2995"/>
      <c r="AA36" s="2995"/>
      <c r="AB36" s="2995"/>
      <c r="AC36" s="2996"/>
    </row>
    <row r="37" spans="1:29" ht="15" customHeight="1" x14ac:dyDescent="0.25">
      <c r="A37" s="813">
        <v>9</v>
      </c>
      <c r="B37" s="815" t="str">
        <f>IF(Basisgegevens!B303="","--",Basisgegevens!B303)</f>
        <v>--</v>
      </c>
      <c r="C37" s="139" t="str">
        <f>IF(Basisgegevens!E303="","--",Basisgegevens!E303)</f>
        <v>--</v>
      </c>
      <c r="D37" s="140" t="str">
        <f>IF(Basisgegevens!E320="","--",Basisgegevens!E320)</f>
        <v>--</v>
      </c>
      <c r="E37" s="816" t="str">
        <f>IF(D37="--","--",IF(AND($D37&gt;=21,BGKind21Wel="Nee"),"n.v.t",Basisgegevens!F320))</f>
        <v>--</v>
      </c>
      <c r="F37" s="1579" t="str">
        <f>IF(D37="--","--",IF(OR(AND($D37&gt;=21,BGKind21Wel="Nee"),Basisgegevens!$F320="Zelfvoorzienend"),"n.v.t",IF(OR(LEFT(Basisgegevens!$F320,3)="MBO",LEFT(Basisgegevens!$F320,6)="HBO/WO"),Basisgegevens!$J320,KAEigenAandeel/KAKindTotaalAantal)))</f>
        <v>--</v>
      </c>
      <c r="G37" s="1584">
        <f>IF(OR(E37="--",E37="???",F37="n.v.t"),0,Basisgegevens!F303)</f>
        <v>0</v>
      </c>
      <c r="H37" s="461">
        <f t="shared" si="12"/>
        <v>0</v>
      </c>
      <c r="I37" s="458" t="str">
        <f>IF(Basisgegevens!C303=1,BGPartner_AP,IF(Basisgegevens!D303=1,BGPartner_AG,"--"))</f>
        <v>--</v>
      </c>
      <c r="J37" s="1609">
        <f>Basisgegevens!G303</f>
        <v>0.15</v>
      </c>
      <c r="K37" s="211">
        <f t="shared" si="0"/>
        <v>0</v>
      </c>
      <c r="L37" s="171">
        <f t="shared" si="1"/>
        <v>0</v>
      </c>
      <c r="M37" s="168">
        <f t="shared" si="2"/>
        <v>0</v>
      </c>
      <c r="N37" s="1624">
        <f t="shared" si="3"/>
        <v>0</v>
      </c>
      <c r="O37" s="1625">
        <f t="shared" si="4"/>
        <v>0</v>
      </c>
      <c r="P37" s="1620">
        <f t="shared" si="5"/>
        <v>0</v>
      </c>
      <c r="Q37" s="168">
        <f t="shared" si="6"/>
        <v>0</v>
      </c>
      <c r="R37" s="1624">
        <f t="shared" si="7"/>
        <v>0</v>
      </c>
      <c r="S37" s="1625">
        <f t="shared" si="8"/>
        <v>0</v>
      </c>
      <c r="T37" s="1620">
        <f t="shared" si="9"/>
        <v>0</v>
      </c>
      <c r="U37" s="2994" t="str">
        <f t="shared" si="10"/>
        <v>--</v>
      </c>
      <c r="V37" s="2995"/>
      <c r="W37" s="2995"/>
      <c r="X37" s="2995"/>
      <c r="Y37" s="2995"/>
      <c r="Z37" s="2995"/>
      <c r="AA37" s="2995"/>
      <c r="AB37" s="2995"/>
      <c r="AC37" s="2996"/>
    </row>
    <row r="38" spans="1:29" ht="15" customHeight="1" x14ac:dyDescent="0.25">
      <c r="A38" s="813">
        <v>10</v>
      </c>
      <c r="B38" s="815" t="str">
        <f>IF(Basisgegevens!B304="","--",Basisgegevens!B304)</f>
        <v>--</v>
      </c>
      <c r="C38" s="139" t="str">
        <f>IF(Basisgegevens!E304="","--",Basisgegevens!E304)</f>
        <v>--</v>
      </c>
      <c r="D38" s="140" t="str">
        <f>IF(Basisgegevens!E321="","--",Basisgegevens!E321)</f>
        <v>--</v>
      </c>
      <c r="E38" s="816" t="str">
        <f>IF(D38="--","--",IF(AND($D38&gt;=21,BGKind21Wel="Nee"),"n.v.t",Basisgegevens!F321))</f>
        <v>--</v>
      </c>
      <c r="F38" s="1579" t="str">
        <f>IF(D38="--","--",IF(OR(AND($D38&gt;=21,BGKind21Wel="Nee"),Basisgegevens!$F321="Zelfvoorzienend"),"n.v.t",IF(OR(LEFT(Basisgegevens!$F321,3)="MBO",LEFT(Basisgegevens!$F321,6)="HBO/WO"),Basisgegevens!$J321,KAEigenAandeel/KAKindTotaalAantal)))</f>
        <v>--</v>
      </c>
      <c r="G38" s="1584">
        <f>IF(OR(E38="--",E38="???",F38="n.v.t"),0,Basisgegevens!F304)</f>
        <v>0</v>
      </c>
      <c r="H38" s="461">
        <f t="shared" si="12"/>
        <v>0</v>
      </c>
      <c r="I38" s="458" t="str">
        <f>IF(Basisgegevens!C304=1,BGPartner_AP,IF(Basisgegevens!D304=1,BGPartner_AG,"--"))</f>
        <v>--</v>
      </c>
      <c r="J38" s="1609">
        <f>Basisgegevens!G304</f>
        <v>0.15</v>
      </c>
      <c r="K38" s="211">
        <f t="shared" si="0"/>
        <v>0</v>
      </c>
      <c r="L38" s="171">
        <f t="shared" si="1"/>
        <v>0</v>
      </c>
      <c r="M38" s="168">
        <f t="shared" si="2"/>
        <v>0</v>
      </c>
      <c r="N38" s="1624">
        <f t="shared" si="3"/>
        <v>0</v>
      </c>
      <c r="O38" s="1625">
        <f t="shared" si="4"/>
        <v>0</v>
      </c>
      <c r="P38" s="1620">
        <f t="shared" si="5"/>
        <v>0</v>
      </c>
      <c r="Q38" s="168">
        <f t="shared" si="6"/>
        <v>0</v>
      </c>
      <c r="R38" s="1624">
        <f t="shared" si="7"/>
        <v>0</v>
      </c>
      <c r="S38" s="1625">
        <f t="shared" si="8"/>
        <v>0</v>
      </c>
      <c r="T38" s="1620">
        <f t="shared" si="9"/>
        <v>0</v>
      </c>
      <c r="U38" s="2994" t="str">
        <f t="shared" si="10"/>
        <v>--</v>
      </c>
      <c r="V38" s="2995"/>
      <c r="W38" s="2995"/>
      <c r="X38" s="2995"/>
      <c r="Y38" s="2995"/>
      <c r="Z38" s="2995"/>
      <c r="AA38" s="2995"/>
      <c r="AB38" s="2995"/>
      <c r="AC38" s="2996"/>
    </row>
    <row r="39" spans="1:29" ht="15" customHeight="1" x14ac:dyDescent="0.25">
      <c r="A39" s="813">
        <v>11</v>
      </c>
      <c r="B39" s="815" t="str">
        <f>IF(Basisgegevens!B305="","--",Basisgegevens!B305)</f>
        <v>--</v>
      </c>
      <c r="C39" s="139" t="str">
        <f>IF(Basisgegevens!E305="","--",Basisgegevens!E305)</f>
        <v>--</v>
      </c>
      <c r="D39" s="140" t="str">
        <f>IF(Basisgegevens!E322="","--",Basisgegevens!E322)</f>
        <v>--</v>
      </c>
      <c r="E39" s="816" t="str">
        <f>IF(D39="--","--",IF(AND($D39&gt;=21,BGKind21Wel="Nee"),"n.v.t",Basisgegevens!F322))</f>
        <v>--</v>
      </c>
      <c r="F39" s="1579" t="str">
        <f>IF(D39="--","--",IF(OR(AND($D39&gt;=21,BGKind21Wel="Nee"),Basisgegevens!$F322="Zelfvoorzienend"),"n.v.t",IF(OR(LEFT(Basisgegevens!$F322,3)="MBO",LEFT(Basisgegevens!$F322,6)="HBO/WO"),Basisgegevens!$J322,KAEigenAandeel/KAKindTotaalAantal)))</f>
        <v>--</v>
      </c>
      <c r="G39" s="1584">
        <f>IF(OR(E39="--",E39="???",F39="n.v.t"),0,Basisgegevens!F305)</f>
        <v>0</v>
      </c>
      <c r="H39" s="461">
        <f t="shared" si="12"/>
        <v>0</v>
      </c>
      <c r="I39" s="458" t="str">
        <f>IF(Basisgegevens!C305=1,BGPartner_AP,IF(Basisgegevens!D305=1,BGPartner_AG,"--"))</f>
        <v>--</v>
      </c>
      <c r="J39" s="1609">
        <f>Basisgegevens!G305</f>
        <v>0.15</v>
      </c>
      <c r="K39" s="211">
        <f t="shared" si="0"/>
        <v>0</v>
      </c>
      <c r="L39" s="171">
        <f t="shared" si="1"/>
        <v>0</v>
      </c>
      <c r="M39" s="168">
        <f t="shared" si="2"/>
        <v>0</v>
      </c>
      <c r="N39" s="1624">
        <f t="shared" si="3"/>
        <v>0</v>
      </c>
      <c r="O39" s="1625">
        <f t="shared" si="4"/>
        <v>0</v>
      </c>
      <c r="P39" s="1620">
        <f t="shared" si="5"/>
        <v>0</v>
      </c>
      <c r="Q39" s="168">
        <f t="shared" si="6"/>
        <v>0</v>
      </c>
      <c r="R39" s="1624">
        <f t="shared" si="7"/>
        <v>0</v>
      </c>
      <c r="S39" s="1625">
        <f t="shared" si="8"/>
        <v>0</v>
      </c>
      <c r="T39" s="1620">
        <f t="shared" si="9"/>
        <v>0</v>
      </c>
      <c r="U39" s="2994" t="str">
        <f t="shared" si="10"/>
        <v>--</v>
      </c>
      <c r="V39" s="2995"/>
      <c r="W39" s="2995"/>
      <c r="X39" s="2995"/>
      <c r="Y39" s="2995"/>
      <c r="Z39" s="2995"/>
      <c r="AA39" s="2995"/>
      <c r="AB39" s="2995"/>
      <c r="AC39" s="2996"/>
    </row>
    <row r="40" spans="1:29" ht="15" customHeight="1" thickBot="1" x14ac:dyDescent="0.3">
      <c r="A40" s="814">
        <v>12</v>
      </c>
      <c r="B40" s="817" t="str">
        <f>IF(Basisgegevens!B306="","--",Basisgegevens!B306)</f>
        <v>--</v>
      </c>
      <c r="C40" s="141" t="str">
        <f>IF(Basisgegevens!E306="","--",Basisgegevens!E306)</f>
        <v>--</v>
      </c>
      <c r="D40" s="977" t="str">
        <f>IF(Basisgegevens!E323="","--",Basisgegevens!E323)</f>
        <v>--</v>
      </c>
      <c r="E40" s="978" t="str">
        <f>IF(D40="--","--",IF(AND($D40&gt;=21,BGKind21Wel="Nee"),"n.v.t",Basisgegevens!F323))</f>
        <v>--</v>
      </c>
      <c r="F40" s="1580" t="str">
        <f>IF(D40="--","--",IF(OR(AND($D40&gt;=21,BGKind21Wel="Nee"),Basisgegevens!$F323="Zelfvoorzienend"),"n.v.t",IF(OR(LEFT(Basisgegevens!$F323,3)="MBO",LEFT(Basisgegevens!$F323,6)="HBO/WO"),Basisgegevens!$J323,KAEigenAandeel/KAKindTotaalAantal)))</f>
        <v>--</v>
      </c>
      <c r="G40" s="1585">
        <f>IF(OR(E40="--",E40="???",F40="n.v.t"),0,Basisgegevens!F306)</f>
        <v>0</v>
      </c>
      <c r="H40" s="979">
        <f t="shared" si="12"/>
        <v>0</v>
      </c>
      <c r="I40" s="459" t="str">
        <f>IF(Basisgegevens!C306=1,BGPartner_AP,IF(Basisgegevens!D306=1,BGPartner_AG,"--"))</f>
        <v>--</v>
      </c>
      <c r="J40" s="1610">
        <f>Basisgegevens!G306</f>
        <v>0.15</v>
      </c>
      <c r="K40" s="211">
        <f t="shared" si="0"/>
        <v>0</v>
      </c>
      <c r="L40" s="171">
        <f t="shared" si="1"/>
        <v>0</v>
      </c>
      <c r="M40" s="136">
        <f t="shared" si="2"/>
        <v>0</v>
      </c>
      <c r="N40" s="1626">
        <f t="shared" si="3"/>
        <v>0</v>
      </c>
      <c r="O40" s="1627">
        <f t="shared" si="4"/>
        <v>0</v>
      </c>
      <c r="P40" s="1621">
        <f t="shared" si="5"/>
        <v>0</v>
      </c>
      <c r="Q40" s="136">
        <f t="shared" si="6"/>
        <v>0</v>
      </c>
      <c r="R40" s="1626">
        <f t="shared" si="7"/>
        <v>0</v>
      </c>
      <c r="S40" s="1627">
        <f t="shared" si="8"/>
        <v>0</v>
      </c>
      <c r="T40" s="1621">
        <f t="shared" si="9"/>
        <v>0</v>
      </c>
      <c r="U40" s="2997" t="str">
        <f t="shared" si="10"/>
        <v>--</v>
      </c>
      <c r="V40" s="2998"/>
      <c r="W40" s="2998"/>
      <c r="X40" s="2998"/>
      <c r="Y40" s="2998"/>
      <c r="Z40" s="2998"/>
      <c r="AA40" s="2998"/>
      <c r="AB40" s="2998"/>
      <c r="AC40" s="2999"/>
    </row>
    <row r="41" spans="1:29" ht="15" customHeight="1" thickBot="1" x14ac:dyDescent="0.3">
      <c r="D41" s="778" t="s">
        <v>131</v>
      </c>
      <c r="E41" s="980">
        <f>SUM(E29:E40)</f>
        <v>0</v>
      </c>
      <c r="F41" s="175">
        <f t="shared" ref="F41" si="13">SUM(F29:F40)</f>
        <v>0</v>
      </c>
      <c r="G41" s="981">
        <f>SUM(G29:G40)</f>
        <v>0</v>
      </c>
      <c r="H41" s="122">
        <f>SUM(H29:H40)</f>
        <v>0</v>
      </c>
      <c r="K41" s="167">
        <f t="shared" ref="K41:T41" si="14">SUM(K29:K40)</f>
        <v>0</v>
      </c>
      <c r="L41" s="169">
        <f t="shared" si="14"/>
        <v>0</v>
      </c>
      <c r="M41" s="175">
        <f t="shared" si="14"/>
        <v>0</v>
      </c>
      <c r="N41" s="173">
        <f>SUM(N29:N40)</f>
        <v>0</v>
      </c>
      <c r="O41" s="174">
        <f>SUM(O29:O40)</f>
        <v>0</v>
      </c>
      <c r="P41" s="172">
        <f t="shared" si="14"/>
        <v>0</v>
      </c>
      <c r="Q41" s="175">
        <f t="shared" si="14"/>
        <v>0</v>
      </c>
      <c r="R41" s="173">
        <f>SUM(R29:R40)</f>
        <v>0</v>
      </c>
      <c r="S41" s="174">
        <f>SUM(S29:S40)</f>
        <v>0</v>
      </c>
      <c r="T41" s="170">
        <f t="shared" si="14"/>
        <v>0</v>
      </c>
    </row>
    <row r="42" spans="1:29" ht="15" customHeight="1" thickBot="1" x14ac:dyDescent="0.3">
      <c r="N42" s="2536" t="s">
        <v>313</v>
      </c>
      <c r="O42" s="209" t="s">
        <v>312</v>
      </c>
      <c r="P42" s="210" t="s">
        <v>314</v>
      </c>
      <c r="R42" s="209" t="s">
        <v>315</v>
      </c>
      <c r="S42" s="210" t="s">
        <v>312</v>
      </c>
      <c r="T42" s="210" t="s">
        <v>314</v>
      </c>
    </row>
    <row r="43" spans="1:29" ht="15" customHeight="1" thickBot="1" x14ac:dyDescent="0.3">
      <c r="A43" s="2395" t="str">
        <f>Basisgegevens!B291</f>
        <v>Behoefte van studerend kind vanaf 21 jaar toch meenemen in de kinderalimentatie berekening?</v>
      </c>
      <c r="B43" s="2384"/>
      <c r="C43" s="2384"/>
      <c r="D43" s="2384"/>
      <c r="E43" s="2385"/>
      <c r="F43" s="2394" t="str">
        <f>BGKind21Wel</f>
        <v>Nee</v>
      </c>
      <c r="N43" s="3006" t="s">
        <v>321</v>
      </c>
      <c r="O43" s="3007"/>
      <c r="P43" s="3008"/>
      <c r="R43" s="3006" t="s">
        <v>321</v>
      </c>
      <c r="S43" s="3007"/>
      <c r="T43" s="3008"/>
    </row>
    <row r="44" spans="1:29" ht="15" customHeight="1" thickBot="1" x14ac:dyDescent="0.3"/>
    <row r="45" spans="1:29" ht="15" customHeight="1" thickBot="1" x14ac:dyDescent="0.3">
      <c r="B45" s="664"/>
      <c r="G45" s="1340" t="s">
        <v>1116</v>
      </c>
      <c r="H45" s="1341"/>
      <c r="I45" s="1341"/>
      <c r="J45" s="1341"/>
      <c r="K45" s="1341"/>
      <c r="L45" s="1342"/>
      <c r="M45" s="1341"/>
      <c r="N45" s="1341"/>
      <c r="O45" s="1341"/>
      <c r="P45" s="1341"/>
      <c r="Q45" s="1341"/>
      <c r="R45" s="1341"/>
      <c r="S45" s="1341"/>
      <c r="T45" s="1343"/>
    </row>
  </sheetData>
  <sheetProtection algorithmName="SHA-512" hashValue="3mgbrZrkspXxaAGYwkM4s+eYP+8QLM88w5kbqwx71tSDTKCQsue+TU9kXdjGHEfRctk8YJCJJ9ye2KbNbNVApw==" saltValue="cc3bJhiWiMoJ2bqMzWBCYA==" spinCount="100000" sheet="1" objects="1" scenarios="1"/>
  <mergeCells count="56">
    <mergeCell ref="V3:V5"/>
    <mergeCell ref="J5:K5"/>
    <mergeCell ref="H6:I6"/>
    <mergeCell ref="J16:J17"/>
    <mergeCell ref="F25:F28"/>
    <mergeCell ref="G25:G28"/>
    <mergeCell ref="I26:I28"/>
    <mergeCell ref="H25:H28"/>
    <mergeCell ref="E16:E17"/>
    <mergeCell ref="F19:H19"/>
    <mergeCell ref="L5:L6"/>
    <mergeCell ref="K25:K28"/>
    <mergeCell ref="J25:J28"/>
    <mergeCell ref="L25:L28"/>
    <mergeCell ref="H13:I13"/>
    <mergeCell ref="N43:P43"/>
    <mergeCell ref="R43:T43"/>
    <mergeCell ref="R25:R28"/>
    <mergeCell ref="M24:P24"/>
    <mergeCell ref="Q24:T24"/>
    <mergeCell ref="T25:T28"/>
    <mergeCell ref="M25:M28"/>
    <mergeCell ref="O25:O28"/>
    <mergeCell ref="S25:S28"/>
    <mergeCell ref="P25:P28"/>
    <mergeCell ref="N25:N28"/>
    <mergeCell ref="Q25:Q28"/>
    <mergeCell ref="U39:AC39"/>
    <mergeCell ref="U40:AC40"/>
    <mergeCell ref="U28:AC28"/>
    <mergeCell ref="U32:AC32"/>
    <mergeCell ref="U33:AC33"/>
    <mergeCell ref="U34:AC34"/>
    <mergeCell ref="U35:AC35"/>
    <mergeCell ref="U36:AC36"/>
    <mergeCell ref="U29:AC29"/>
    <mergeCell ref="U30:AC30"/>
    <mergeCell ref="U31:AC31"/>
    <mergeCell ref="U37:AC37"/>
    <mergeCell ref="U38:AC38"/>
    <mergeCell ref="B23:C23"/>
    <mergeCell ref="B17:C17"/>
    <mergeCell ref="M5:M10"/>
    <mergeCell ref="E6:E10"/>
    <mergeCell ref="J12:O12"/>
    <mergeCell ref="B18:C18"/>
    <mergeCell ref="B19:C19"/>
    <mergeCell ref="B20:C20"/>
    <mergeCell ref="B21:C21"/>
    <mergeCell ref="B22:C22"/>
    <mergeCell ref="B12:D12"/>
    <mergeCell ref="H7:I7"/>
    <mergeCell ref="H8:I8"/>
    <mergeCell ref="H9:I9"/>
    <mergeCell ref="H10:I10"/>
    <mergeCell ref="D16:D17"/>
  </mergeCells>
  <conditionalFormatting sqref="E29:E40">
    <cfRule type="cellIs" dxfId="16" priority="3" operator="equal">
      <formula>"???"</formula>
    </cfRule>
  </conditionalFormatting>
  <conditionalFormatting sqref="F41">
    <cfRule type="cellIs" dxfId="15" priority="1" operator="lessThan">
      <formula>0</formula>
    </cfRule>
  </conditionalFormatting>
  <conditionalFormatting sqref="K18:U21">
    <cfRule type="expression" dxfId="14" priority="2467">
      <formula>$M$11&lt;&gt;$J18</formula>
    </cfRule>
    <cfRule type="cellIs" dxfId="13" priority="2468" operator="equal">
      <formula>$D$19</formula>
    </cfRule>
    <cfRule type="cellIs" dxfId="12" priority="2469" operator="equal">
      <formula>$E$19</formula>
    </cfRule>
  </conditionalFormatting>
  <conditionalFormatting sqref="U10 K41:T41">
    <cfRule type="cellIs" dxfId="11" priority="13" operator="lessThan">
      <formula>0</formula>
    </cfRule>
  </conditionalFormatting>
  <pageMargins left="0.70866141732283472" right="0.70866141732283472" top="0.74803149606299213" bottom="0.74803149606299213" header="0.31496062992125984" footer="0.31496062992125984"/>
  <pageSetup paperSize="8" scale="85" orientation="landscape" horizontalDpi="4294967293"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1">
    <tabColor theme="5" tint="0.39997558519241921"/>
  </sheetPr>
  <dimension ref="A1:G70"/>
  <sheetViews>
    <sheetView showGridLines="0" zoomScale="80" zoomScaleNormal="80" workbookViewId="0">
      <pane xSplit="1" ySplit="1" topLeftCell="B2" activePane="bottomRight" state="frozen"/>
      <selection pane="topRight" activeCell="B1" sqref="B1"/>
      <selection pane="bottomLeft" activeCell="A2" sqref="A2"/>
      <selection pane="bottomRight"/>
    </sheetView>
  </sheetViews>
  <sheetFormatPr defaultColWidth="8.85546875" defaultRowHeight="15" x14ac:dyDescent="0.25"/>
  <cols>
    <col min="1" max="1" width="8.85546875" style="238"/>
    <col min="2" max="2" width="25.7109375" customWidth="1"/>
    <col min="3" max="3" width="23.7109375" customWidth="1"/>
    <col min="4" max="4" width="30.7109375" customWidth="1"/>
    <col min="5" max="6" width="15.7109375" style="463" customWidth="1"/>
    <col min="7" max="7" width="19.5703125" style="463" bestFit="1" customWidth="1"/>
  </cols>
  <sheetData>
    <row r="1" spans="1:7" ht="21.75" thickBot="1" x14ac:dyDescent="0.4">
      <c r="A1" s="2208"/>
      <c r="B1" s="2235" t="s">
        <v>465</v>
      </c>
      <c r="C1" s="2236"/>
      <c r="D1" s="2236"/>
      <c r="E1" s="2236"/>
      <c r="F1" s="2236"/>
      <c r="G1" s="2237"/>
    </row>
    <row r="2" spans="1:7" ht="15.75" thickBot="1" x14ac:dyDescent="0.3">
      <c r="C2" s="238"/>
    </row>
    <row r="3" spans="1:7" ht="16.5" thickBot="1" x14ac:dyDescent="0.3">
      <c r="B3" s="2584" t="s">
        <v>341</v>
      </c>
      <c r="C3" s="2985"/>
      <c r="D3" s="820">
        <f>Basisgegevens!$C$16</f>
        <v>45474</v>
      </c>
      <c r="F3" s="481" t="s">
        <v>452</v>
      </c>
      <c r="G3" s="824" t="str">
        <f>Basisgegevens!$C$22</f>
        <v>2024 - 2e halfjaar</v>
      </c>
    </row>
    <row r="4" spans="1:7" ht="15.75" thickBot="1" x14ac:dyDescent="0.3">
      <c r="C4" s="238"/>
    </row>
    <row r="5" spans="1:7" ht="15.75" thickBot="1" x14ac:dyDescent="0.3">
      <c r="C5" s="238"/>
      <c r="E5" s="475" t="s">
        <v>792</v>
      </c>
      <c r="F5" s="475" t="s">
        <v>793</v>
      </c>
    </row>
    <row r="6" spans="1:7" x14ac:dyDescent="0.25">
      <c r="A6" s="491">
        <f>'Alimentatie 2024-02'!A246</f>
        <v>121</v>
      </c>
      <c r="B6" s="821" t="s">
        <v>463</v>
      </c>
      <c r="C6" s="2542" t="str">
        <f>BGPartner_AP</f>
        <v>Alimentatie Plichtig</v>
      </c>
      <c r="D6" s="467">
        <f>Basisgegevens!C5</f>
        <v>28440</v>
      </c>
      <c r="E6" s="477">
        <f ca="1">Basisgegevens!C230</f>
        <v>0</v>
      </c>
      <c r="F6" s="477">
        <f ca="1">E6*12</f>
        <v>0</v>
      </c>
      <c r="G6" s="468" t="s">
        <v>74</v>
      </c>
    </row>
    <row r="7" spans="1:7" ht="15.75" thickBot="1" x14ac:dyDescent="0.3">
      <c r="A7" s="575">
        <f>'Alimentatie 2024-02'!A246</f>
        <v>121</v>
      </c>
      <c r="B7" s="822" t="s">
        <v>462</v>
      </c>
      <c r="C7" s="2543" t="str">
        <f>BGPartner_AG</f>
        <v>Alimentatie Gerechtigd</v>
      </c>
      <c r="D7" s="576">
        <f>Basisgegevens!D5</f>
        <v>28440</v>
      </c>
      <c r="E7" s="577">
        <f ca="1">Basisgegevens!D230</f>
        <v>0</v>
      </c>
      <c r="F7" s="577">
        <f ca="1">E7*12</f>
        <v>0</v>
      </c>
      <c r="G7" s="468" t="s">
        <v>74</v>
      </c>
    </row>
    <row r="8" spans="1:7" ht="15.75" thickBot="1" x14ac:dyDescent="0.3">
      <c r="B8" s="3072" t="s">
        <v>967</v>
      </c>
      <c r="C8" s="2571"/>
      <c r="D8" s="3073"/>
      <c r="E8" s="488">
        <f ca="1">SUM(E6:E7)</f>
        <v>0</v>
      </c>
      <c r="F8" s="488">
        <f ca="1">E8*12</f>
        <v>0</v>
      </c>
    </row>
    <row r="9" spans="1:7" ht="15.75" thickBot="1" x14ac:dyDescent="0.3">
      <c r="B9" s="3063"/>
      <c r="C9" s="3063"/>
      <c r="D9" s="3063"/>
      <c r="E9" s="478"/>
      <c r="F9" s="478"/>
    </row>
    <row r="10" spans="1:7" ht="15.75" thickBot="1" x14ac:dyDescent="0.3">
      <c r="B10" s="3074" t="str">
        <f>Kinderalimentatie!B23</f>
        <v>Eigen aandeel ouders conform NIBUD tabel:</v>
      </c>
      <c r="C10" s="3075"/>
      <c r="D10" s="3076"/>
      <c r="E10" s="479">
        <f ca="1">Kinderalimentatie!D23</f>
        <v>0</v>
      </c>
      <c r="F10" s="479">
        <f ca="1">E10*12</f>
        <v>0</v>
      </c>
      <c r="G10" s="2106" t="s">
        <v>69</v>
      </c>
    </row>
    <row r="11" spans="1:7" ht="15.75" thickBot="1" x14ac:dyDescent="0.3">
      <c r="B11" s="3077" t="s">
        <v>464</v>
      </c>
      <c r="C11" s="3078"/>
      <c r="D11" s="3079"/>
      <c r="E11" s="480">
        <f ca="1">E8-E10</f>
        <v>0</v>
      </c>
      <c r="F11" s="480">
        <f ca="1">E11*12</f>
        <v>0</v>
      </c>
    </row>
    <row r="12" spans="1:7" ht="15.75" thickBot="1" x14ac:dyDescent="0.3">
      <c r="B12" s="3096" t="str">
        <f>CONCATENATE("Behoefte AP/AG a ",Basisgegevens!C227*100,"%:")</f>
        <v>Behoefte AP/AG a 60%:</v>
      </c>
      <c r="C12" s="3097"/>
      <c r="D12" s="3098"/>
      <c r="E12" s="122">
        <f ca="1">Basisgegevens!C227*E11</f>
        <v>0</v>
      </c>
      <c r="F12" s="122">
        <f ca="1">E12*12</f>
        <v>0</v>
      </c>
    </row>
    <row r="13" spans="1:7" ht="15.75" thickBot="1" x14ac:dyDescent="0.3">
      <c r="B13" s="3063"/>
      <c r="C13" s="3063"/>
      <c r="D13" s="3063"/>
    </row>
    <row r="14" spans="1:7" ht="16.5" thickBot="1" x14ac:dyDescent="0.3">
      <c r="A14" s="236" t="s">
        <v>240</v>
      </c>
      <c r="B14" s="3069" t="s">
        <v>466</v>
      </c>
      <c r="C14" s="3069"/>
      <c r="D14" s="3069"/>
      <c r="E14" s="476" t="s">
        <v>54</v>
      </c>
      <c r="F14" s="481" t="s">
        <v>461</v>
      </c>
      <c r="G14" s="665" t="s">
        <v>459</v>
      </c>
    </row>
    <row r="15" spans="1:7" x14ac:dyDescent="0.25">
      <c r="A15" s="1631" t="str">
        <f>'Alimentatie 2024-02'!A44&amp;"/"&amp;'Alimentatie 2024-02'!A50</f>
        <v>59/60</v>
      </c>
      <c r="B15" s="3070" t="str">
        <f>'Alimentatie 2024-02'!B44&amp;" / "&amp;'Alimentatie 2024-02'!B50</f>
        <v>Inkomsten uit arbeid: / Bruto loon volgens jaaropgaaf werkgever(s)</v>
      </c>
      <c r="C15" s="2580"/>
      <c r="D15" s="2581"/>
      <c r="E15" s="464">
        <f>F15/12</f>
        <v>0</v>
      </c>
      <c r="F15" s="513">
        <f>AL59Arbeidsinkomen_AG+AL60Arbeidsinkomen_AG</f>
        <v>0</v>
      </c>
      <c r="G15" s="464">
        <f>F15</f>
        <v>0</v>
      </c>
    </row>
    <row r="16" spans="1:7" x14ac:dyDescent="0.25">
      <c r="A16" s="485">
        <f>'Alimentatie 2024-02'!A16</f>
        <v>43</v>
      </c>
      <c r="B16" s="2567" t="str">
        <f>'Alimentatie 2024-02'!B16</f>
        <v>Bruto uitkering andere sociale verzekeringswetten (niet zijnde bijstand)</v>
      </c>
      <c r="C16" s="2567"/>
      <c r="D16" s="2568"/>
      <c r="E16" s="486">
        <f>F16/12</f>
        <v>0</v>
      </c>
      <c r="F16" s="514">
        <f>AL43SocVerz_AG</f>
        <v>0</v>
      </c>
      <c r="G16" s="486">
        <f>F16</f>
        <v>0</v>
      </c>
    </row>
    <row r="17" spans="1:7" x14ac:dyDescent="0.25">
      <c r="A17" s="485">
        <f>'Alimentatie 2024-02'!A66</f>
        <v>70</v>
      </c>
      <c r="B17" s="3071" t="str">
        <f>'Alimentatie 2024-02'!B66</f>
        <v>Winst uit onderneming:</v>
      </c>
      <c r="C17" s="2567"/>
      <c r="D17" s="2568"/>
      <c r="E17" s="486">
        <f>F17/12</f>
        <v>0</v>
      </c>
      <c r="F17" s="514">
        <f>AL70WinstOnderneming_AG</f>
        <v>0</v>
      </c>
      <c r="G17" s="486">
        <f>F17-'Alimentatie 2024-02'!F74</f>
        <v>0</v>
      </c>
    </row>
    <row r="18" spans="1:7" x14ac:dyDescent="0.25">
      <c r="A18" s="485">
        <f>'Alimentatie 2024-02'!A80</f>
        <v>78</v>
      </c>
      <c r="B18" s="3071" t="str">
        <f>'Alimentatie 2024-02'!B80</f>
        <v>Belastbaar resultaat uit overige werkzaamheden:</v>
      </c>
      <c r="C18" s="2567"/>
      <c r="D18" s="2568"/>
      <c r="E18" s="486">
        <f>F18/12</f>
        <v>0</v>
      </c>
      <c r="F18" s="514">
        <f>AL78OverigeWerkz_AG</f>
        <v>0</v>
      </c>
      <c r="G18" s="486">
        <f>F18</f>
        <v>0</v>
      </c>
    </row>
    <row r="19" spans="1:7" x14ac:dyDescent="0.25">
      <c r="A19" s="485">
        <f>'Alimentatie 2024-02'!A86</f>
        <v>81</v>
      </c>
      <c r="B19" s="3071" t="str">
        <f>'Alimentatie 2024-02'!B86</f>
        <v>Belastbare periodieke uitkeringen en verstrekkingen:</v>
      </c>
      <c r="C19" s="2567"/>
      <c r="D19" s="2568"/>
      <c r="E19" s="486">
        <f>F19/12</f>
        <v>0</v>
      </c>
      <c r="F19" s="514">
        <f>'Alimentatie 2024-02'!F83</f>
        <v>0</v>
      </c>
      <c r="G19" s="486">
        <f>F19</f>
        <v>0</v>
      </c>
    </row>
    <row r="20" spans="1:7" x14ac:dyDescent="0.25">
      <c r="A20" s="485">
        <f>'Alimentatie 2024-02'!A89</f>
        <v>81</v>
      </c>
      <c r="B20" s="3104" t="str">
        <f>'Alimentatie 2024-02'!B89</f>
        <v>OEW Fictief inkomen: Eigen Woning Forfait ontvangen als partneralimentatie</v>
      </c>
      <c r="C20" s="3105"/>
      <c r="D20" s="3106"/>
      <c r="E20" s="486">
        <f t="shared" ref="E20:E21" si="0">F20/12</f>
        <v>0</v>
      </c>
      <c r="F20" s="514">
        <f>IF(BGOEWRekenModule="Nee",0,BGOEW81EWFPA_AG)</f>
        <v>0</v>
      </c>
      <c r="G20" s="486">
        <f t="shared" ref="G20:G21" si="1">F20</f>
        <v>0</v>
      </c>
    </row>
    <row r="21" spans="1:7" ht="15.75" thickBot="1" x14ac:dyDescent="0.3">
      <c r="A21" s="493">
        <f>'Alimentatie 2024-02'!A90</f>
        <v>81</v>
      </c>
      <c r="B21" s="3107" t="str">
        <f>'Alimentatie 2024-02'!B90</f>
        <v>OEW Fictief inkomen: Rente ontvangen als partneralimentatie</v>
      </c>
      <c r="C21" s="3108"/>
      <c r="D21" s="3109"/>
      <c r="E21" s="497">
        <f t="shared" si="0"/>
        <v>0</v>
      </c>
      <c r="F21" s="516">
        <f>IF(BGOEWRekenModule="Nee",0,BGOEW81RentePA_AG)</f>
        <v>0</v>
      </c>
      <c r="G21" s="497">
        <f t="shared" si="1"/>
        <v>0</v>
      </c>
    </row>
    <row r="22" spans="1:7" ht="15.75" thickBot="1" x14ac:dyDescent="0.3">
      <c r="A22" s="494">
        <v>94</v>
      </c>
      <c r="B22" s="3061" t="s">
        <v>478</v>
      </c>
      <c r="C22" s="3061"/>
      <c r="D22" s="3099"/>
      <c r="E22" s="526">
        <f>SUM(E15:E21)</f>
        <v>0</v>
      </c>
      <c r="F22" s="526">
        <f>SUM(F15:F21)</f>
        <v>0</v>
      </c>
      <c r="G22" s="526">
        <f>SUM(G15:G21)</f>
        <v>0</v>
      </c>
    </row>
    <row r="23" spans="1:7" x14ac:dyDescent="0.25">
      <c r="A23" s="492" t="str">
        <f>CONCATENATE('Alimentatie 2024-02'!A144,"/",'Alimentatie 2024-02'!A146)</f>
        <v>98/100</v>
      </c>
      <c r="B23" s="3052" t="str">
        <f>'Alimentatie 2024-02'!B146</f>
        <v>Belastbaar inkomen uit aanmerkelijk belang (Box II):</v>
      </c>
      <c r="C23" s="3052"/>
      <c r="D23" s="3053"/>
      <c r="E23" s="490">
        <f>G23/12</f>
        <v>0</v>
      </c>
      <c r="F23" s="515">
        <f>'Alimentatie 2024-02'!F144</f>
        <v>0</v>
      </c>
      <c r="G23" s="490">
        <f>'Alimentatie 2024-02'!F146</f>
        <v>0</v>
      </c>
    </row>
    <row r="24" spans="1:7" ht="15.75" thickBot="1" x14ac:dyDescent="0.3">
      <c r="A24" s="495">
        <f>'Alimentatie 2024-02'!A155</f>
        <v>103</v>
      </c>
      <c r="B24" s="3102" t="str">
        <f>'Alimentatie 2024-02'!B155</f>
        <v>Werkelijke vermogensinkomsten:</v>
      </c>
      <c r="C24" s="2577"/>
      <c r="D24" s="2578"/>
      <c r="E24" s="497">
        <f>F24/12</f>
        <v>0</v>
      </c>
      <c r="F24" s="516">
        <f>AL103WerkVemInk_AG</f>
        <v>0</v>
      </c>
      <c r="G24" s="497">
        <f>'Alimentatie 2024-02'!F175</f>
        <v>0</v>
      </c>
    </row>
    <row r="25" spans="1:7" ht="15.75" thickBot="1" x14ac:dyDescent="0.3">
      <c r="A25" s="496"/>
      <c r="B25" s="3066" t="s">
        <v>467</v>
      </c>
      <c r="C25" s="3066"/>
      <c r="D25" s="3103"/>
      <c r="E25" s="498">
        <f>E22+E23+E24</f>
        <v>0</v>
      </c>
      <c r="F25" s="512">
        <f>F22+F23+F24</f>
        <v>0</v>
      </c>
      <c r="G25" s="122">
        <f>G22+G23+G24</f>
        <v>0</v>
      </c>
    </row>
    <row r="26" spans="1:7" ht="15.75" thickBot="1" x14ac:dyDescent="0.3">
      <c r="B26" s="3063"/>
      <c r="C26" s="3063"/>
      <c r="D26" s="3063"/>
    </row>
    <row r="27" spans="1:7" ht="16.149999999999999" customHeight="1" thickBot="1" x14ac:dyDescent="0.3">
      <c r="A27" s="242" t="s">
        <v>240</v>
      </c>
      <c r="B27" s="3100" t="s">
        <v>199</v>
      </c>
      <c r="C27" s="3100"/>
      <c r="D27" s="3101"/>
      <c r="E27" s="476" t="s">
        <v>54</v>
      </c>
      <c r="F27" s="476" t="s">
        <v>461</v>
      </c>
      <c r="G27" s="1658"/>
    </row>
    <row r="28" spans="1:7" x14ac:dyDescent="0.25">
      <c r="A28" s="499">
        <f>'Alimentatie 2024-02'!A134</f>
        <v>95</v>
      </c>
      <c r="B28" s="3052" t="str">
        <f>'Alimentatie 2024-02'!B134</f>
        <v>Inkomensheffing Box 1:</v>
      </c>
      <c r="C28" s="3052"/>
      <c r="D28" s="3053"/>
      <c r="E28" s="464">
        <f>IF(F28="n.v.t",0,F28/12)</f>
        <v>0</v>
      </c>
      <c r="F28" s="464">
        <f>'Alimentatie 2024-02'!G134</f>
        <v>0</v>
      </c>
      <c r="G28" s="1658" t="s">
        <v>74</v>
      </c>
    </row>
    <row r="29" spans="1:7" x14ac:dyDescent="0.25">
      <c r="A29" s="485">
        <f>'Alimentatie 2024-02'!A147</f>
        <v>101</v>
      </c>
      <c r="B29" s="2567" t="str">
        <f>'Alimentatie 2024-02'!B147</f>
        <v>Inkomstebelasting (het o.b.v. belastbaar inkomen geldende tarief is: 24,5%) box II:</v>
      </c>
      <c r="C29" s="2567"/>
      <c r="D29" s="2568"/>
      <c r="E29" s="486">
        <f>IF(F29="n.v.t",0,F29/12)</f>
        <v>0</v>
      </c>
      <c r="F29" s="486">
        <f>'Alimentatie 2024-02'!F147</f>
        <v>0</v>
      </c>
      <c r="G29" s="1658" t="s">
        <v>74</v>
      </c>
    </row>
    <row r="30" spans="1:7" ht="15.75" thickBot="1" x14ac:dyDescent="0.3">
      <c r="A30" s="493">
        <f>'Alimentatie 2024-02'!A176</f>
        <v>112</v>
      </c>
      <c r="B30" s="2577" t="str">
        <f>'Alimentatie 2024-02'!B176</f>
        <v>Inkomstebelasting (vast tarief 36%) box III:</v>
      </c>
      <c r="C30" s="2577"/>
      <c r="D30" s="2578"/>
      <c r="E30" s="497">
        <f>IF(F30="n.v.t",0,F30/12)</f>
        <v>0</v>
      </c>
      <c r="F30" s="497">
        <f>'Alimentatie 2024-02'!F176</f>
        <v>0</v>
      </c>
      <c r="G30" s="1658" t="s">
        <v>74</v>
      </c>
    </row>
    <row r="31" spans="1:7" ht="15.75" thickBot="1" x14ac:dyDescent="0.3">
      <c r="A31" s="494"/>
      <c r="B31" s="3061" t="s">
        <v>468</v>
      </c>
      <c r="C31" s="3061"/>
      <c r="D31" s="3062"/>
      <c r="E31" s="474">
        <f>SUM(E28:E30)</f>
        <v>0</v>
      </c>
      <c r="F31" s="474">
        <f>SUM(F28:F30)</f>
        <v>0</v>
      </c>
      <c r="G31" s="1658"/>
    </row>
    <row r="32" spans="1:7" ht="15.75" thickBot="1" x14ac:dyDescent="0.3">
      <c r="B32" s="3063"/>
      <c r="C32" s="3063"/>
      <c r="D32" s="3063"/>
      <c r="G32" s="1658"/>
    </row>
    <row r="33" spans="1:7" ht="16.5" thickBot="1" x14ac:dyDescent="0.3">
      <c r="A33" s="268">
        <f>'Alimentatie 2024-02'!A183</f>
        <v>115</v>
      </c>
      <c r="B33" s="3064" t="s">
        <v>460</v>
      </c>
      <c r="C33" s="3064"/>
      <c r="D33" s="3065"/>
      <c r="E33" s="475" t="s">
        <v>54</v>
      </c>
      <c r="F33" s="518" t="s">
        <v>461</v>
      </c>
      <c r="G33" s="1658"/>
    </row>
    <row r="34" spans="1:7" x14ac:dyDescent="0.25">
      <c r="A34" s="484"/>
      <c r="B34" s="2580" t="str">
        <f>'Alimentatie 2024-02'!B184&amp;" over € "&amp;Basisgegevens!R96</f>
        <v>- Algemene heffingskorting over € 0 (AP) / € 0 (AG) over € 0</v>
      </c>
      <c r="C34" s="2580"/>
      <c r="D34" s="2581"/>
      <c r="E34" s="464">
        <f>IF(F34="n.v.t",0,F34/12)</f>
        <v>0</v>
      </c>
      <c r="F34" s="1399">
        <f>IF(BGAOWLeeftijdBereikt_AG="Nee",Basisgegevens!R101,Basisgegevens!R110)</f>
        <v>0</v>
      </c>
      <c r="G34" s="1658" t="s">
        <v>74</v>
      </c>
    </row>
    <row r="35" spans="1:7" x14ac:dyDescent="0.25">
      <c r="A35" s="485"/>
      <c r="B35" s="2567" t="str">
        <f>'Alimentatie 2024-02'!B185</f>
        <v>- Arbeidskorting over € 0 (AP) / € 0 (AG)</v>
      </c>
      <c r="C35" s="2567"/>
      <c r="D35" s="2568"/>
      <c r="E35" s="486">
        <f t="shared" ref="E35:E58" si="2">IF(F35="n.v.t",0,F35/12)</f>
        <v>0</v>
      </c>
      <c r="F35" s="519">
        <f>IF(BGAOWLeeftijdBereikt_AG="Nee",Basisgegevens!R121,Basisgegevens!R130)</f>
        <v>0</v>
      </c>
      <c r="G35" s="1658" t="s">
        <v>74</v>
      </c>
    </row>
    <row r="36" spans="1:7" x14ac:dyDescent="0.25">
      <c r="A36" s="485"/>
      <c r="B36" s="2567" t="str">
        <f>'Alimentatie 2024-02'!B186</f>
        <v>- Inkomensonafhankelijke combinatiekorting</v>
      </c>
      <c r="C36" s="2567"/>
      <c r="D36" s="2568"/>
      <c r="E36" s="486">
        <f t="shared" si="2"/>
        <v>0</v>
      </c>
      <c r="F36" s="519">
        <f>IF(BGAOWLeeftijdBereikt_AG="Nee",Basisgegevens!R84,Basisgegevens!R92)</f>
        <v>0</v>
      </c>
      <c r="G36" s="1658" t="s">
        <v>74</v>
      </c>
    </row>
    <row r="37" spans="1:7" x14ac:dyDescent="0.25">
      <c r="A37" s="485"/>
      <c r="B37" s="2567" t="str">
        <f>'Alimentatie 2024-02'!B187</f>
        <v>- Ouderenkorting</v>
      </c>
      <c r="C37" s="2567"/>
      <c r="D37" s="2568"/>
      <c r="E37" s="486">
        <f t="shared" si="2"/>
        <v>0</v>
      </c>
      <c r="F37" s="519" t="str">
        <f>Basisgegevens!R138</f>
        <v>n.v.t</v>
      </c>
      <c r="G37" s="1658" t="s">
        <v>74</v>
      </c>
    </row>
    <row r="38" spans="1:7" x14ac:dyDescent="0.25">
      <c r="A38" s="485"/>
      <c r="B38" s="2567" t="str">
        <f>'Alimentatie 2024-02'!B188</f>
        <v>- Alleenstaande ouderenkorting (AOW-ers)</v>
      </c>
      <c r="C38" s="2567"/>
      <c r="D38" s="2568"/>
      <c r="E38" s="486">
        <f t="shared" si="2"/>
        <v>0</v>
      </c>
      <c r="F38" s="519" t="str">
        <f>Basisgegevens!R56</f>
        <v>n.v.t</v>
      </c>
      <c r="G38" s="1658" t="s">
        <v>74</v>
      </c>
    </row>
    <row r="39" spans="1:7" ht="15.75" thickBot="1" x14ac:dyDescent="0.3">
      <c r="A39" s="493"/>
      <c r="B39" s="2577" t="str">
        <f>'Alimentatie 2024-02'!B189</f>
        <v>- Andere kortingen (Jonggehandicapten, Levensloopverlof, Groene beleggingen)</v>
      </c>
      <c r="C39" s="2577"/>
      <c r="D39" s="2578"/>
      <c r="E39" s="497">
        <f t="shared" si="2"/>
        <v>0</v>
      </c>
      <c r="F39" s="520">
        <f>'Alimentatie 2024-02'!F189</f>
        <v>0</v>
      </c>
      <c r="G39" s="1658" t="s">
        <v>74</v>
      </c>
    </row>
    <row r="40" spans="1:7" ht="15.75" thickBot="1" x14ac:dyDescent="0.3">
      <c r="A40" s="562">
        <f>'Alimentatie 2024-02'!A190</f>
        <v>116</v>
      </c>
      <c r="B40" s="3061" t="s">
        <v>469</v>
      </c>
      <c r="C40" s="3061"/>
      <c r="D40" s="3062"/>
      <c r="E40" s="474">
        <f t="shared" si="2"/>
        <v>0</v>
      </c>
      <c r="F40" s="526">
        <f>SUM(F34:F39)</f>
        <v>0</v>
      </c>
      <c r="G40" s="1658"/>
    </row>
    <row r="41" spans="1:7" ht="15.75" thickBot="1" x14ac:dyDescent="0.3">
      <c r="A41" s="562">
        <f>'Alimentatie 2024-02'!A191</f>
        <v>117</v>
      </c>
      <c r="B41" s="3061" t="s">
        <v>197</v>
      </c>
      <c r="C41" s="3061"/>
      <c r="D41" s="3062"/>
      <c r="E41" s="474">
        <f t="shared" si="2"/>
        <v>0</v>
      </c>
      <c r="F41" s="526">
        <f>IF(F31-F40&lt;0,0,F31-F40)</f>
        <v>0</v>
      </c>
      <c r="G41" s="1658"/>
    </row>
    <row r="42" spans="1:7" ht="15.75" thickBot="1" x14ac:dyDescent="0.3">
      <c r="A42" s="496">
        <f>'Alimentatie 2024-02'!A192</f>
        <v>0</v>
      </c>
      <c r="B42" s="3066" t="str">
        <f>'Alimentatie 2024-02'!B192</f>
        <v>Inkomen na aftrek van inkomensheffing:</v>
      </c>
      <c r="C42" s="3066"/>
      <c r="D42" s="2573"/>
      <c r="E42" s="122">
        <f t="shared" si="2"/>
        <v>0</v>
      </c>
      <c r="F42" s="498">
        <f>'Alimentatie 2024-02'!F181-F41</f>
        <v>0</v>
      </c>
      <c r="G42" s="1658"/>
    </row>
    <row r="43" spans="1:7" ht="15.75" thickBot="1" x14ac:dyDescent="0.3">
      <c r="B43" s="3063"/>
      <c r="C43" s="3063"/>
      <c r="D43" s="3063"/>
    </row>
    <row r="44" spans="1:7" ht="15.75" thickBot="1" x14ac:dyDescent="0.3">
      <c r="A44" s="242" t="s">
        <v>240</v>
      </c>
      <c r="B44" s="3067" t="s">
        <v>480</v>
      </c>
      <c r="C44" s="3067"/>
      <c r="D44" s="3068"/>
      <c r="E44" s="476" t="s">
        <v>54</v>
      </c>
      <c r="F44" s="521" t="s">
        <v>461</v>
      </c>
    </row>
    <row r="45" spans="1:7" x14ac:dyDescent="0.25">
      <c r="A45" s="499">
        <f>'Alimentatie 2024-02'!A219</f>
        <v>119</v>
      </c>
      <c r="B45" s="3110" t="str">
        <f>'Alimentatie 2024-02'!B219</f>
        <v>(Kleine) Netto inkomsten</v>
      </c>
      <c r="C45" s="3052"/>
      <c r="D45" s="3053"/>
      <c r="E45" s="490">
        <f>IF(F45="n.v.t",0,F45/12)</f>
        <v>0</v>
      </c>
      <c r="F45" s="522">
        <f>'Alimentatie 2024-02'!F219</f>
        <v>0</v>
      </c>
      <c r="G45" s="468" t="s">
        <v>74</v>
      </c>
    </row>
    <row r="46" spans="1:7" ht="15.75" thickBot="1" x14ac:dyDescent="0.3">
      <c r="A46" s="774">
        <f>'Alimentatie 2024-02'!A234</f>
        <v>75</v>
      </c>
      <c r="B46" s="2577" t="str">
        <f>'Alimentatie 2024-02'!B234</f>
        <v>Belastbare winst uit onderneming</v>
      </c>
      <c r="C46" s="2577"/>
      <c r="D46" s="2578"/>
      <c r="E46" s="497">
        <f t="shared" si="2"/>
        <v>0</v>
      </c>
      <c r="F46" s="524">
        <f>'Alimentatie 2024-02'!F234</f>
        <v>0</v>
      </c>
      <c r="G46" s="2106" t="s">
        <v>69</v>
      </c>
    </row>
    <row r="47" spans="1:7" ht="15.75" thickBot="1" x14ac:dyDescent="0.3">
      <c r="A47" s="2053"/>
      <c r="B47" s="3049" t="s">
        <v>942</v>
      </c>
      <c r="C47" s="3049"/>
      <c r="D47" s="3049"/>
      <c r="E47" s="2054"/>
      <c r="F47" s="2055"/>
      <c r="G47" s="2106"/>
    </row>
    <row r="48" spans="1:7" x14ac:dyDescent="0.25">
      <c r="A48" s="2056" t="str">
        <f>'Alimentatie 2024-02'!A197</f>
        <v>41/57</v>
      </c>
      <c r="B48" s="2581" t="str">
        <f>'Alimentatie 2024-02'!B197</f>
        <v>Ink.afhankelijke bijdrage premie ZVW al betaald bij post 41 Looninkomsten</v>
      </c>
      <c r="C48" s="3056"/>
      <c r="D48" s="3057"/>
      <c r="E48" s="464">
        <f t="shared" ref="E48" si="3">IF(F48="n.v.t",0,F48/12)</f>
        <v>0</v>
      </c>
      <c r="F48" s="1399">
        <f>'Alimentatie 2024-02'!G197</f>
        <v>0</v>
      </c>
      <c r="G48" s="2106"/>
    </row>
    <row r="49" spans="1:7" x14ac:dyDescent="0.25">
      <c r="A49" s="239" t="str">
        <f>'Alimentatie 2024-02'!A198</f>
        <v>42/57</v>
      </c>
      <c r="B49" s="2568" t="str">
        <f>'Alimentatie 2024-02'!B198</f>
        <v>Ink.afhankelijke bijdrage premie ZVW al betaald bij post 42 AOW</v>
      </c>
      <c r="C49" s="2548"/>
      <c r="D49" s="3055"/>
      <c r="E49" s="486">
        <f t="shared" ref="E49:E50" si="4">IF(F49="n.v.t",0,F49/12)</f>
        <v>0</v>
      </c>
      <c r="F49" s="519">
        <f>'Alimentatie 2024-02'!G198</f>
        <v>0</v>
      </c>
      <c r="G49" s="2106"/>
    </row>
    <row r="50" spans="1:7" ht="15.75" thickBot="1" x14ac:dyDescent="0.3">
      <c r="A50" s="240" t="str">
        <f>'Alimentatie 2024-02'!A199</f>
        <v>50/57</v>
      </c>
      <c r="B50" s="3048" t="str">
        <f>'Alimentatie 2024-02'!B199</f>
        <v>Ink.afhankelijke bijdrage premie ZVW al betaald bij post 50 Pensioen</v>
      </c>
      <c r="C50" s="2569"/>
      <c r="D50" s="3054"/>
      <c r="E50" s="487">
        <f t="shared" si="4"/>
        <v>0</v>
      </c>
      <c r="F50" s="1400">
        <f>'Alimentatie 2024-02'!G199</f>
        <v>0</v>
      </c>
      <c r="G50" s="2106" t="s">
        <v>69</v>
      </c>
    </row>
    <row r="51" spans="1:7" x14ac:dyDescent="0.25">
      <c r="A51" s="241" t="str">
        <f>'Alimentatie 2024-02'!A$205</f>
        <v>44/47/48</v>
      </c>
      <c r="B51" s="3052" t="str">
        <f>'Alimentatie 2024-02'!B205</f>
        <v>Bruto arbeidsinkomen uit dienstbetrekking (1 en 2) als DGA? Nee (AP) / Nee (AG)</v>
      </c>
      <c r="C51" s="3052"/>
      <c r="D51" s="3053"/>
      <c r="E51" s="490">
        <f t="shared" si="2"/>
        <v>0</v>
      </c>
      <c r="F51" s="522">
        <f>'Alimentatie 2024-02'!F205</f>
        <v>0</v>
      </c>
      <c r="G51" s="2106" t="s">
        <v>69</v>
      </c>
    </row>
    <row r="52" spans="1:7" x14ac:dyDescent="0.25">
      <c r="A52" s="239">
        <f>'Alimentatie 2024-02'!A$206</f>
        <v>75</v>
      </c>
      <c r="B52" s="2567" t="str">
        <f>'Alimentatie 2024-02'!B206</f>
        <v>Belastbare winst uit onderneming</v>
      </c>
      <c r="C52" s="2567"/>
      <c r="D52" s="2568"/>
      <c r="E52" s="486">
        <f t="shared" si="2"/>
        <v>0</v>
      </c>
      <c r="F52" s="519">
        <f>'Alimentatie 2024-02'!F206</f>
        <v>0</v>
      </c>
      <c r="G52" s="2106" t="s">
        <v>69</v>
      </c>
    </row>
    <row r="53" spans="1:7" x14ac:dyDescent="0.25">
      <c r="A53" s="239">
        <f>'Alimentatie 2024-02'!A$207</f>
        <v>78</v>
      </c>
      <c r="B53" s="2567" t="str">
        <f>'Alimentatie 2024-02'!B207</f>
        <v>Belastbaar resultaat uit overige werkzaamheden</v>
      </c>
      <c r="C53" s="2567"/>
      <c r="D53" s="2568"/>
      <c r="E53" s="486">
        <f t="shared" si="2"/>
        <v>0</v>
      </c>
      <c r="F53" s="519">
        <f>'Alimentatie 2024-02'!F207</f>
        <v>0</v>
      </c>
      <c r="G53" s="2106" t="s">
        <v>69</v>
      </c>
    </row>
    <row r="54" spans="1:7" ht="15.75" thickBot="1" x14ac:dyDescent="0.3">
      <c r="A54" s="240">
        <f>'Alimentatie 2024-02'!A$209</f>
        <v>81</v>
      </c>
      <c r="B54" s="3047" t="str">
        <f>'Alimentatie 2024-02'!B209</f>
        <v>Belastbare periodieke uitkeringen en verstrekkingen</v>
      </c>
      <c r="C54" s="3047"/>
      <c r="D54" s="3048"/>
      <c r="E54" s="487">
        <f t="shared" si="2"/>
        <v>0</v>
      </c>
      <c r="F54" s="1400">
        <f>'Alimentatie 2024-02'!F209</f>
        <v>0</v>
      </c>
      <c r="G54" s="2106" t="s">
        <v>69</v>
      </c>
    </row>
    <row r="55" spans="1:7" ht="15.75" thickBot="1" x14ac:dyDescent="0.3">
      <c r="A55" s="523"/>
      <c r="B55" s="3050" t="s">
        <v>943</v>
      </c>
      <c r="C55" s="3050"/>
      <c r="D55" s="3051"/>
      <c r="E55" s="2057">
        <f>SUM(E48:E54)</f>
        <v>0</v>
      </c>
      <c r="F55" s="2058">
        <f>SUM(F48:F54)</f>
        <v>0</v>
      </c>
      <c r="G55" s="2106" t="s">
        <v>69</v>
      </c>
    </row>
    <row r="56" spans="1:7" ht="15.75" thickBot="1" x14ac:dyDescent="0.3">
      <c r="A56" s="494"/>
      <c r="B56" s="1654"/>
      <c r="C56" s="1655"/>
      <c r="D56" s="1656" t="s">
        <v>858</v>
      </c>
      <c r="E56" s="526">
        <f>E42+E45-E55</f>
        <v>0</v>
      </c>
      <c r="F56" s="526">
        <f>F42+F45-F55</f>
        <v>0</v>
      </c>
      <c r="G56" s="2106"/>
    </row>
    <row r="57" spans="1:7" x14ac:dyDescent="0.25">
      <c r="A57" s="523"/>
      <c r="B57" s="3058" t="s">
        <v>859</v>
      </c>
      <c r="C57" s="3059"/>
      <c r="D57" s="3060"/>
      <c r="E57" s="528">
        <f t="shared" ca="1" si="2"/>
        <v>0</v>
      </c>
      <c r="F57" s="823">
        <f ca="1">F34-IF(BGAOWLeeftijdBereikt_AG="Nee",Basisgegevens!V101,Basisgegevens!V110)</f>
        <v>0</v>
      </c>
      <c r="G57" s="2106" t="s">
        <v>69</v>
      </c>
    </row>
    <row r="58" spans="1:7" ht="15.75" thickBot="1" x14ac:dyDescent="0.3">
      <c r="A58" s="240"/>
      <c r="B58" s="3083" t="s">
        <v>581</v>
      </c>
      <c r="C58" s="3084"/>
      <c r="D58" s="3085"/>
      <c r="E58" s="487">
        <f t="shared" ca="1" si="2"/>
        <v>0</v>
      </c>
      <c r="F58" s="1400">
        <f ca="1">IF(F11-G15&lt;=0,0,IF(F11-G15&gt;Basisgegevens!C221,((Basisgegevens!C221-G15)*Basisgegevens!C220)-SUM(F46:F54),((F11-G15)*Basisgegevens!C220)-SUM(F46:F54)))</f>
        <v>0</v>
      </c>
      <c r="G58" s="2106" t="s">
        <v>69</v>
      </c>
    </row>
    <row r="59" spans="1:7" ht="15.75" thickBot="1" x14ac:dyDescent="0.3">
      <c r="A59" s="511" t="str">
        <f>'Alimentatie 2024-02'!A224</f>
        <v>119a</v>
      </c>
      <c r="B59" s="2571" t="str">
        <f>'Alimentatie 2024-02'!B224</f>
        <v>Totaal Netto inkomsten (waaronder KGB):</v>
      </c>
      <c r="C59" s="2571"/>
      <c r="D59" s="3073"/>
      <c r="E59" s="488">
        <f ca="1">F59/12</f>
        <v>0</v>
      </c>
      <c r="F59" s="489">
        <f ca="1">F56-SUM(F57:F58)</f>
        <v>0</v>
      </c>
      <c r="G59" s="845"/>
    </row>
    <row r="60" spans="1:7" x14ac:dyDescent="0.25">
      <c r="A60" s="239" t="str">
        <f>'Alimentatie 2024-02'!A290</f>
        <v>141b</v>
      </c>
      <c r="B60" s="2567" t="str">
        <f>'Alimentatie 2024-02'!B290</f>
        <v>Eigen aandeel kosten kinderen</v>
      </c>
      <c r="C60" s="2567"/>
      <c r="D60" s="2568"/>
      <c r="E60" s="528">
        <f>'Alimentatie 2024-02'!F290</f>
        <v>0</v>
      </c>
      <c r="F60" s="823">
        <f>E60*12</f>
        <v>0</v>
      </c>
      <c r="G60" s="2106" t="s">
        <v>69</v>
      </c>
    </row>
    <row r="61" spans="1:7" ht="15.75" thickBot="1" x14ac:dyDescent="0.3">
      <c r="A61" s="239"/>
      <c r="B61" s="2567" t="str">
        <f>'Alimentatie 2024-02'!B222</f>
        <v>- Kindgebonden budget + Alleenstaande ouderkop (zie Toelichting in kolom H !!!)</v>
      </c>
      <c r="C61" s="2567"/>
      <c r="D61" s="2568"/>
      <c r="E61" s="486">
        <f>IF(F61="n.v.t",0,F61/12)</f>
        <v>0</v>
      </c>
      <c r="F61" s="519">
        <f>IF(BGKGBbij119a="Ja",IF('Alimentatie 2024-02'!G222&gt;=F60,F60,F60-'Alimentatie 2024-02'!G222),0)</f>
        <v>0</v>
      </c>
      <c r="G61" s="468" t="s">
        <v>74</v>
      </c>
    </row>
    <row r="62" spans="1:7" ht="15.75" thickBot="1" x14ac:dyDescent="0.3">
      <c r="A62" s="500"/>
      <c r="B62" s="3066" t="s">
        <v>481</v>
      </c>
      <c r="C62" s="3066"/>
      <c r="D62" s="2573"/>
      <c r="E62" s="122">
        <f ca="1">E59-E60+E61</f>
        <v>0</v>
      </c>
      <c r="F62" s="498">
        <f ca="1">F59-F60+SUBSTITUTE(F61,"n.v.t",0)</f>
        <v>0</v>
      </c>
      <c r="G62"/>
    </row>
    <row r="63" spans="1:7" ht="15.75" thickBot="1" x14ac:dyDescent="0.3">
      <c r="B63" s="3063"/>
      <c r="C63" s="3063"/>
      <c r="D63" s="3063"/>
    </row>
    <row r="64" spans="1:7" ht="15.75" thickBot="1" x14ac:dyDescent="0.3">
      <c r="B64" s="3086" t="s">
        <v>484</v>
      </c>
      <c r="C64" s="3087"/>
      <c r="D64" s="3088"/>
      <c r="E64" s="476" t="s">
        <v>54</v>
      </c>
      <c r="F64" s="521" t="s">
        <v>461</v>
      </c>
      <c r="G64"/>
    </row>
    <row r="65" spans="2:7" x14ac:dyDescent="0.25">
      <c r="B65" s="3089" t="s">
        <v>482</v>
      </c>
      <c r="C65" s="3090"/>
      <c r="D65" s="3091"/>
      <c r="E65" s="490">
        <f ca="1">E12</f>
        <v>0</v>
      </c>
      <c r="F65" s="522">
        <f ca="1">F12</f>
        <v>0</v>
      </c>
      <c r="G65" s="468" t="s">
        <v>74</v>
      </c>
    </row>
    <row r="66" spans="2:7" ht="15.75" thickBot="1" x14ac:dyDescent="0.3">
      <c r="B66" s="3092" t="str">
        <f>B62</f>
        <v>Netto inkomen t.b.v. eigen behoefte:</v>
      </c>
      <c r="C66" s="3093"/>
      <c r="D66" s="3094"/>
      <c r="E66" s="497">
        <f ca="1">IF(F66="n.v.t",0,F66/12)</f>
        <v>0</v>
      </c>
      <c r="F66" s="524">
        <f ca="1">F62</f>
        <v>0</v>
      </c>
      <c r="G66" s="2158" t="s">
        <v>69</v>
      </c>
    </row>
    <row r="67" spans="2:7" ht="15.75" thickBot="1" x14ac:dyDescent="0.3">
      <c r="B67" s="3095" t="s">
        <v>470</v>
      </c>
      <c r="C67" s="3061"/>
      <c r="D67" s="3062"/>
      <c r="E67" s="527">
        <f ca="1">E65-E66</f>
        <v>0</v>
      </c>
      <c r="F67" s="525">
        <f ca="1">F65-F66</f>
        <v>0</v>
      </c>
      <c r="G67" s="846"/>
    </row>
    <row r="68" spans="2:7" ht="15.75" thickBot="1" x14ac:dyDescent="0.3">
      <c r="B68" s="3095" t="s">
        <v>479</v>
      </c>
      <c r="C68" s="3061"/>
      <c r="D68" s="3062"/>
      <c r="E68" s="474">
        <f ca="1">F68/12</f>
        <v>0</v>
      </c>
      <c r="F68" s="526">
        <f ca="1">Basisgegevens!Y11</f>
        <v>0</v>
      </c>
    </row>
    <row r="69" spans="2:7" ht="15.75" thickBot="1" x14ac:dyDescent="0.3">
      <c r="B69" s="3092" t="str">
        <f>"Af te dragen ZVW-Premie a "&amp;BGZVWPremie*100&amp;"% over € "&amp;'Alimentatie 2024-02'!F213&amp;"(= restbedrag ZKV heffing)"</f>
        <v>Af te dragen ZVW-Premie a 5,32% over € 71624(= restbedrag ZKV heffing)</v>
      </c>
      <c r="C69" s="3093"/>
      <c r="D69" s="3094"/>
      <c r="E69" s="479">
        <f t="shared" ref="E69" si="5">IF(F69="n.v.t",0,F69/12)</f>
        <v>317.53306666666668</v>
      </c>
      <c r="F69" s="1657">
        <f>AL117aRestZVWbedrag_AG*BGZVWPremie</f>
        <v>3810.3968</v>
      </c>
      <c r="G69" s="517" t="s">
        <v>74</v>
      </c>
    </row>
    <row r="70" spans="2:7" ht="16.5" thickBot="1" x14ac:dyDescent="0.3">
      <c r="B70" s="3080" t="s">
        <v>483</v>
      </c>
      <c r="C70" s="3081"/>
      <c r="D70" s="3082"/>
      <c r="E70" s="1661">
        <f ca="1">E68+E69</f>
        <v>317.53306666666668</v>
      </c>
      <c r="F70" s="1661">
        <f ca="1">F68+F69</f>
        <v>3810.3968</v>
      </c>
    </row>
  </sheetData>
  <sheetProtection algorithmName="SHA-512" hashValue="Qk1kuq2n3lWIfOUsxvlkmUpNlvtsKhYSMnn+B0F3nlx46CDnGd8GLqqs6SJOJU2H5XAnGwOPTlH4w6c3x0SMqA==" saltValue="QTncN7DYVvJuQhoAM/ULYg==" spinCount="100000" sheet="1" objects="1" scenarios="1"/>
  <mergeCells count="63">
    <mergeCell ref="B12:D12"/>
    <mergeCell ref="B13:D13"/>
    <mergeCell ref="B68:D68"/>
    <mergeCell ref="B26:D26"/>
    <mergeCell ref="B28:D28"/>
    <mergeCell ref="B29:D29"/>
    <mergeCell ref="B19:D19"/>
    <mergeCell ref="B22:D22"/>
    <mergeCell ref="B23:D23"/>
    <mergeCell ref="B27:D27"/>
    <mergeCell ref="B24:D24"/>
    <mergeCell ref="B25:D25"/>
    <mergeCell ref="B20:D20"/>
    <mergeCell ref="B21:D21"/>
    <mergeCell ref="B43:D43"/>
    <mergeCell ref="B45:D45"/>
    <mergeCell ref="B70:D70"/>
    <mergeCell ref="B58:D58"/>
    <mergeCell ref="B59:D59"/>
    <mergeCell ref="B64:D64"/>
    <mergeCell ref="B62:D62"/>
    <mergeCell ref="B63:D63"/>
    <mergeCell ref="B65:D65"/>
    <mergeCell ref="B66:D66"/>
    <mergeCell ref="B67:D67"/>
    <mergeCell ref="B61:D61"/>
    <mergeCell ref="B69:D69"/>
    <mergeCell ref="B8:D8"/>
    <mergeCell ref="B9:D9"/>
    <mergeCell ref="B10:D10"/>
    <mergeCell ref="B11:D11"/>
    <mergeCell ref="B3:C3"/>
    <mergeCell ref="B44:D44"/>
    <mergeCell ref="B14:D14"/>
    <mergeCell ref="B15:D15"/>
    <mergeCell ref="B16:D16"/>
    <mergeCell ref="B17:D17"/>
    <mergeCell ref="B18:D18"/>
    <mergeCell ref="B57:D57"/>
    <mergeCell ref="B60:D60"/>
    <mergeCell ref="B35:D35"/>
    <mergeCell ref="B30:D30"/>
    <mergeCell ref="B31:D31"/>
    <mergeCell ref="B32:D32"/>
    <mergeCell ref="B33:D33"/>
    <mergeCell ref="B34:D34"/>
    <mergeCell ref="B36:D36"/>
    <mergeCell ref="B37:D37"/>
    <mergeCell ref="B38:D38"/>
    <mergeCell ref="B46:D46"/>
    <mergeCell ref="B39:D39"/>
    <mergeCell ref="B40:D40"/>
    <mergeCell ref="B41:D41"/>
    <mergeCell ref="B42:D42"/>
    <mergeCell ref="B54:D54"/>
    <mergeCell ref="B47:D47"/>
    <mergeCell ref="B55:D55"/>
    <mergeCell ref="B51:D51"/>
    <mergeCell ref="B50:D50"/>
    <mergeCell ref="B52:D52"/>
    <mergeCell ref="B53:D53"/>
    <mergeCell ref="B49:D49"/>
    <mergeCell ref="B48:D48"/>
  </mergeCells>
  <pageMargins left="0.7" right="0.7" top="0.75" bottom="0.75" header="0.3" footer="0.3"/>
  <pageSetup paperSize="9" orientation="portrait" horizontalDpi="4294967293"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39997558519241921"/>
    <pageSetUpPr fitToPage="1"/>
  </sheetPr>
  <dimension ref="A1:M108"/>
  <sheetViews>
    <sheetView showGridLines="0" zoomScale="80" zoomScaleNormal="80" workbookViewId="0">
      <pane xSplit="6" ySplit="5" topLeftCell="G9" activePane="bottomRight" state="frozen"/>
      <selection pane="topRight" activeCell="G1" sqref="G1"/>
      <selection pane="bottomLeft" activeCell="A5" sqref="A5"/>
      <selection pane="bottomRight"/>
    </sheetView>
  </sheetViews>
  <sheetFormatPr defaultRowHeight="15" x14ac:dyDescent="0.25"/>
  <cols>
    <col min="1" max="1" width="9.42578125" style="238" bestFit="1" customWidth="1"/>
    <col min="2" max="2" width="80.7109375" customWidth="1"/>
    <col min="3" max="6" width="16.7109375" style="463" customWidth="1"/>
    <col min="7" max="7" width="18.42578125" bestFit="1" customWidth="1"/>
    <col min="8" max="8" width="40.7109375" customWidth="1"/>
    <col min="9" max="10" width="22.7109375" customWidth="1"/>
    <col min="11" max="11" width="17.85546875" bestFit="1" customWidth="1"/>
    <col min="12" max="13" width="19.28515625" customWidth="1"/>
  </cols>
  <sheetData>
    <row r="1" spans="1:12" ht="21.75" thickBot="1" x14ac:dyDescent="0.4">
      <c r="A1" s="2238"/>
      <c r="B1" s="2235" t="s">
        <v>963</v>
      </c>
      <c r="C1" s="2239"/>
      <c r="D1" s="2239"/>
      <c r="E1" s="2239"/>
      <c r="F1" s="2240"/>
    </row>
    <row r="2" spans="1:12" ht="7.5" customHeight="1" thickBot="1" x14ac:dyDescent="0.4">
      <c r="A2" s="2241"/>
      <c r="B2" s="2242"/>
      <c r="C2" s="2093"/>
      <c r="D2" s="2093"/>
      <c r="E2" s="2093"/>
      <c r="F2" s="2093"/>
    </row>
    <row r="3" spans="1:12" ht="16.5" thickBot="1" x14ac:dyDescent="0.3">
      <c r="A3" s="132" t="s">
        <v>240</v>
      </c>
      <c r="B3" s="1633" t="s">
        <v>102</v>
      </c>
      <c r="C3" s="3117" t="str">
        <f>BGPartner_AP</f>
        <v>Alimentatie Plichtig</v>
      </c>
      <c r="D3" s="3118"/>
      <c r="E3" s="3117" t="str">
        <f>BGPartner_AG</f>
        <v>Alimentatie Gerechtigd</v>
      </c>
      <c r="F3" s="3118"/>
      <c r="H3" s="462" t="s">
        <v>452</v>
      </c>
      <c r="I3" s="3121" t="str">
        <f>Basisgegevens!$C$22</f>
        <v>2024 - 2e halfjaar</v>
      </c>
      <c r="J3" s="3122"/>
    </row>
    <row r="4" spans="1:12" ht="15.75" thickBot="1" x14ac:dyDescent="0.3">
      <c r="A4" s="1370">
        <f>'Alimentatie 2024-02'!A272</f>
        <v>136</v>
      </c>
      <c r="B4" s="1637" t="str">
        <f>'Alimentatie 2024-02'!B272&amp;"per jaar: "</f>
        <v xml:space="preserve">Draagkrachtruimte:per jaar: </v>
      </c>
      <c r="C4" s="2186"/>
      <c r="D4" s="2187">
        <f ca="1">'Alimentatie 2024-02'!D272*12</f>
        <v>-21180</v>
      </c>
      <c r="E4" s="2188"/>
      <c r="F4" s="2187">
        <f ca="1">'Alimentatie 2024-02'!F272*12</f>
        <v>-21180</v>
      </c>
    </row>
    <row r="5" spans="1:12" ht="16.5" thickBot="1" x14ac:dyDescent="0.3">
      <c r="A5" s="448">
        <f>'Alimentatie 2024-02'!A267</f>
        <v>135</v>
      </c>
      <c r="B5" s="1638" t="str">
        <f>SUBSTITUTE('Alimentatie 2024-02'!B267,":","")&amp;"/Behoefte per jaar: "</f>
        <v xml:space="preserve">Draagkrachtloos inkomen/Behoefte per jaar: </v>
      </c>
      <c r="C5" s="2189">
        <f ca="1">'Alimentatie 2024-02'!D267*12</f>
        <v>21180</v>
      </c>
      <c r="D5" s="2190"/>
      <c r="E5" s="2189">
        <f ca="1">'Alimentatie 2024-02'!F267*12</f>
        <v>21180</v>
      </c>
      <c r="F5" s="2190"/>
      <c r="H5" s="462" t="s">
        <v>341</v>
      </c>
      <c r="I5" s="811">
        <f>Basisgegevens!$C$16</f>
        <v>45474</v>
      </c>
    </row>
    <row r="6" spans="1:12" ht="9.9499999999999993" customHeight="1" thickBot="1" x14ac:dyDescent="0.3">
      <c r="A6"/>
      <c r="C6" s="846"/>
      <c r="D6" s="846"/>
      <c r="E6" s="2059"/>
      <c r="F6" s="846"/>
      <c r="G6" s="52"/>
      <c r="H6" s="52"/>
      <c r="I6" s="52"/>
      <c r="J6" s="52"/>
      <c r="K6" s="1617"/>
      <c r="L6" s="1617"/>
    </row>
    <row r="7" spans="1:12" ht="15.75" thickBot="1" x14ac:dyDescent="0.3">
      <c r="A7" s="1636" t="s">
        <v>240</v>
      </c>
      <c r="B7" s="1633" t="s">
        <v>102</v>
      </c>
      <c r="C7" s="3117" t="str">
        <f>BGPartner_AP</f>
        <v>Alimentatie Plichtig</v>
      </c>
      <c r="D7" s="3118"/>
      <c r="E7" s="3117" t="str">
        <f>BGPartner_AG</f>
        <v>Alimentatie Gerechtigd</v>
      </c>
      <c r="F7" s="3118"/>
      <c r="G7" s="52"/>
    </row>
    <row r="8" spans="1:12" ht="15.75" thickBot="1" x14ac:dyDescent="0.3">
      <c r="A8" s="1371">
        <f>'Alimentatie 2024-02'!A244</f>
        <v>120</v>
      </c>
      <c r="B8" s="1618" t="s">
        <v>945</v>
      </c>
      <c r="C8" s="552">
        <f ca="1">'Alimentatie 2024-02'!D244</f>
        <v>0</v>
      </c>
      <c r="D8" s="2086"/>
      <c r="E8" s="552">
        <f ca="1">'Alimentatie 2024-02'!F244</f>
        <v>0</v>
      </c>
      <c r="F8" s="2092"/>
      <c r="H8" s="4" t="s">
        <v>845</v>
      </c>
      <c r="L8" s="1617"/>
    </row>
    <row r="9" spans="1:12" ht="15.75" thickBot="1" x14ac:dyDescent="0.3">
      <c r="A9" s="2053"/>
      <c r="B9" s="2095"/>
      <c r="C9" s="2054"/>
      <c r="D9" s="2096"/>
      <c r="E9" s="2054"/>
      <c r="F9" s="2097"/>
      <c r="H9" s="2743" t="s">
        <v>846</v>
      </c>
      <c r="I9" s="3125"/>
      <c r="J9" s="3125"/>
      <c r="K9" s="3126"/>
      <c r="L9" s="1617"/>
    </row>
    <row r="10" spans="1:12" ht="15.75" thickBot="1" x14ac:dyDescent="0.3">
      <c r="A10" s="1147">
        <f>'Alimentatie 2024-02'!A246</f>
        <v>121</v>
      </c>
      <c r="B10" s="2140" t="str">
        <f>TRIM('Alimentatie 2024-02'!B246)</f>
        <v>Netto Besteedbaar Inkomen (NBI) per maand:</v>
      </c>
      <c r="C10" s="2181">
        <f ca="1">'Alimentatie 2024-02'!D246</f>
        <v>0</v>
      </c>
      <c r="D10" s="2141"/>
      <c r="E10" s="2181">
        <f ca="1">'Alimentatie 2024-02'!F246</f>
        <v>0</v>
      </c>
      <c r="F10" s="2142"/>
      <c r="H10" s="3127"/>
      <c r="I10" s="3128"/>
      <c r="J10" s="3128"/>
      <c r="K10" s="3129"/>
      <c r="L10" s="1617"/>
    </row>
    <row r="11" spans="1:12" ht="15.75" thickBot="1" x14ac:dyDescent="0.3">
      <c r="A11" s="1404" t="s">
        <v>944</v>
      </c>
      <c r="B11" s="2085" t="s">
        <v>946</v>
      </c>
      <c r="C11" s="2182">
        <f>Woonlasten_afwijkend!D44</f>
        <v>0</v>
      </c>
      <c r="D11" s="2138"/>
      <c r="E11" s="2182">
        <f>Woonlasten_afwijkend!E44</f>
        <v>0</v>
      </c>
      <c r="F11" s="2139" t="s">
        <v>69</v>
      </c>
      <c r="H11" s="3127"/>
      <c r="I11" s="3128"/>
      <c r="J11" s="3128"/>
      <c r="K11" s="3129"/>
      <c r="L11" s="1617"/>
    </row>
    <row r="12" spans="1:12" ht="15.75" thickBot="1" x14ac:dyDescent="0.3">
      <c r="A12" s="536"/>
      <c r="B12" s="1369" t="s">
        <v>948</v>
      </c>
      <c r="C12" s="2084"/>
      <c r="D12" s="1380">
        <f ca="1">C10-C11</f>
        <v>0</v>
      </c>
      <c r="E12" s="2084"/>
      <c r="F12" s="474">
        <f ca="1">E10-E11</f>
        <v>0</v>
      </c>
      <c r="H12" s="3130"/>
      <c r="I12" s="3131"/>
      <c r="J12" s="3131"/>
      <c r="K12" s="3132"/>
      <c r="L12" s="1617"/>
    </row>
    <row r="13" spans="1:12" ht="6" customHeight="1" x14ac:dyDescent="0.25">
      <c r="B13" s="2085"/>
      <c r="D13" s="565"/>
      <c r="F13" s="565"/>
    </row>
    <row r="14" spans="1:12" ht="16.5" thickBot="1" x14ac:dyDescent="0.3">
      <c r="B14" s="2098" t="s">
        <v>844</v>
      </c>
      <c r="D14" s="565"/>
      <c r="F14" s="565"/>
    </row>
    <row r="15" spans="1:12" ht="15.75" thickBot="1" x14ac:dyDescent="0.3">
      <c r="A15" s="184"/>
      <c r="B15" s="1635" t="s">
        <v>962</v>
      </c>
      <c r="C15" s="464">
        <f>IF(KAEigenAandeelAP+KAEigenAandeelAG&lt;Kinderalimentatie!H41,Kinderalimentatie!H41-KAEigenAandeelAG,KAEigenAandeelAP)</f>
        <v>0</v>
      </c>
      <c r="D15" s="2087"/>
      <c r="E15" s="464">
        <f>KAEigenAandeelAG</f>
        <v>0</v>
      </c>
      <c r="F15" s="2088" t="s">
        <v>69</v>
      </c>
    </row>
    <row r="16" spans="1:12" ht="15.75" thickBot="1" x14ac:dyDescent="0.3">
      <c r="A16" s="536"/>
      <c r="B16" s="1369" t="s">
        <v>947</v>
      </c>
      <c r="C16" s="2084"/>
      <c r="D16" s="1380">
        <f>C15</f>
        <v>0</v>
      </c>
      <c r="E16" s="2084"/>
      <c r="F16" s="474">
        <f>E15</f>
        <v>0</v>
      </c>
    </row>
    <row r="17" spans="1:13" ht="15.75" thickBot="1" x14ac:dyDescent="0.3">
      <c r="B17" s="2085"/>
    </row>
    <row r="18" spans="1:13" ht="15.75" thickBot="1" x14ac:dyDescent="0.3">
      <c r="A18" s="536"/>
      <c r="B18" s="1369" t="s">
        <v>950</v>
      </c>
      <c r="C18" s="2084"/>
      <c r="D18" s="1380">
        <f ca="1">D12-D16</f>
        <v>0</v>
      </c>
      <c r="E18" s="2084"/>
      <c r="F18" s="474">
        <f ca="1">F12-F16</f>
        <v>0</v>
      </c>
    </row>
    <row r="19" spans="1:13" ht="15.75" thickBot="1" x14ac:dyDescent="0.3">
      <c r="A19" s="535">
        <f>'Alimentatie 2024-02'!A303</f>
        <v>144</v>
      </c>
      <c r="B19" s="1618" t="str">
        <f>'Alimentatie 2024-02'!B304</f>
        <v>Netto alimentatie (NA) volgens berekening Methode Buijs per jaar :</v>
      </c>
      <c r="C19" s="2183"/>
      <c r="D19" s="1630"/>
      <c r="E19" s="2183"/>
      <c r="F19" s="497">
        <f ca="1">'Alimentatie 2024-02'!D303</f>
        <v>0</v>
      </c>
      <c r="L19" s="3111" t="s">
        <v>1123</v>
      </c>
      <c r="M19" s="3112"/>
    </row>
    <row r="20" spans="1:13" ht="15.75" thickBot="1" x14ac:dyDescent="0.3">
      <c r="A20" s="536"/>
      <c r="B20" s="1369" t="s">
        <v>949</v>
      </c>
      <c r="C20" s="2084"/>
      <c r="D20" s="1380">
        <f ca="1">SUM(D18:D19)</f>
        <v>0</v>
      </c>
      <c r="E20" s="2084"/>
      <c r="F20" s="474">
        <f ca="1">SUM(F18:F19)</f>
        <v>0</v>
      </c>
      <c r="L20" s="3113"/>
      <c r="M20" s="3114"/>
    </row>
    <row r="21" spans="1:13" x14ac:dyDescent="0.25">
      <c r="A21" s="1628"/>
      <c r="B21" s="1634" t="s">
        <v>961</v>
      </c>
      <c r="C21" s="2184"/>
      <c r="D21" s="2062">
        <f ca="1">F21</f>
        <v>0</v>
      </c>
      <c r="E21" s="2184"/>
      <c r="F21" s="1405">
        <f ca="1">((D18+F18)/2)</f>
        <v>0</v>
      </c>
      <c r="L21" s="3113"/>
      <c r="M21" s="3114"/>
    </row>
    <row r="22" spans="1:13" ht="15.75" thickBot="1" x14ac:dyDescent="0.3">
      <c r="A22" s="1629"/>
      <c r="B22" s="1618" t="s">
        <v>960</v>
      </c>
      <c r="C22" s="2183"/>
      <c r="D22" s="2063"/>
      <c r="E22" s="2185"/>
      <c r="F22" s="2064">
        <f ca="1">F23-F19</f>
        <v>0</v>
      </c>
      <c r="L22" s="3113"/>
      <c r="M22" s="3114"/>
    </row>
    <row r="23" spans="1:13" ht="19.5" thickBot="1" x14ac:dyDescent="0.35">
      <c r="A23" s="2148"/>
      <c r="B23" s="2149" t="s">
        <v>959</v>
      </c>
      <c r="C23" s="2150"/>
      <c r="D23" s="2151">
        <f ca="1">D20-D21</f>
        <v>0</v>
      </c>
      <c r="E23" s="2150"/>
      <c r="F23" s="2150">
        <f ca="1">D23</f>
        <v>0</v>
      </c>
      <c r="G23" s="2174" t="s">
        <v>509</v>
      </c>
      <c r="L23" s="3113"/>
      <c r="M23" s="3114"/>
    </row>
    <row r="24" spans="1:13" ht="15.75" thickBot="1" x14ac:dyDescent="0.3">
      <c r="A24" s="121"/>
      <c r="B24" s="1587" t="s">
        <v>965</v>
      </c>
      <c r="C24" s="122"/>
      <c r="D24" s="2065">
        <f ca="1">D108</f>
        <v>0</v>
      </c>
      <c r="E24" s="122"/>
      <c r="F24" s="512">
        <f ca="1">F108</f>
        <v>0</v>
      </c>
      <c r="G24" s="2175">
        <f ca="1">D108-F108</f>
        <v>0</v>
      </c>
      <c r="H24" s="3133" t="str">
        <f ca="1">IF(OR(G24&lt;-0.5,G24&gt;0.5),"LET OP: Het Correctiebedrag in Jusvergelijking (cel J30) klopt niet !!!","Jusvergelijking is Oke!")</f>
        <v>Jusvergelijking is Oke!</v>
      </c>
      <c r="I24" s="2561"/>
      <c r="J24" s="2613"/>
      <c r="L24" s="3113"/>
      <c r="M24" s="3114"/>
    </row>
    <row r="25" spans="1:13" ht="15.75" thickBot="1" x14ac:dyDescent="0.3">
      <c r="L25" s="3113"/>
      <c r="M25" s="3114"/>
    </row>
    <row r="26" spans="1:13" ht="19.5" thickBot="1" x14ac:dyDescent="0.35">
      <c r="A26" s="2143"/>
      <c r="B26" s="2144" t="s">
        <v>964</v>
      </c>
      <c r="C26" s="2145"/>
      <c r="D26" s="2145"/>
      <c r="E26" s="2146"/>
      <c r="F26" s="2147"/>
      <c r="L26" s="3113"/>
      <c r="M26" s="3114"/>
    </row>
    <row r="27" spans="1:13" ht="15.75" thickBot="1" x14ac:dyDescent="0.3">
      <c r="A27" s="132" t="s">
        <v>240</v>
      </c>
      <c r="B27" s="780" t="s">
        <v>102</v>
      </c>
      <c r="C27" s="3117" t="str">
        <f>BGPartner_AP</f>
        <v>Alimentatie Plichtig</v>
      </c>
      <c r="D27" s="3118"/>
      <c r="E27" s="3123" t="str">
        <f>BGPartner_AG</f>
        <v>Alimentatie Gerechtigd</v>
      </c>
      <c r="F27" s="3124"/>
      <c r="H27" s="798" t="s">
        <v>506</v>
      </c>
      <c r="I27" s="521" t="str">
        <f>BGPartner_AP</f>
        <v>Alimentatie Plichtig</v>
      </c>
      <c r="J27" s="476" t="str">
        <f>BGPartner_AG</f>
        <v>Alimentatie Gerechtigd</v>
      </c>
      <c r="L27" s="3113"/>
      <c r="M27" s="3114"/>
    </row>
    <row r="28" spans="1:13" x14ac:dyDescent="0.25">
      <c r="A28" s="1370">
        <f>'Alimentatie 2024-02'!A$44</f>
        <v>59</v>
      </c>
      <c r="B28" s="1360" t="str">
        <f>'Alimentatie 2024-02'!B$44</f>
        <v>Inkomsten uit arbeid:</v>
      </c>
      <c r="C28" s="2066"/>
      <c r="D28" s="477">
        <f>AL59Arbeidsinkomen_AP</f>
        <v>0</v>
      </c>
      <c r="E28" s="2066"/>
      <c r="F28" s="477">
        <f>AL59Arbeidsinkomen_AG</f>
        <v>0</v>
      </c>
      <c r="H28" s="799" t="s">
        <v>453</v>
      </c>
      <c r="I28" s="560">
        <f>D32</f>
        <v>0</v>
      </c>
      <c r="J28" s="477">
        <f>F32</f>
        <v>0</v>
      </c>
      <c r="L28" s="3113"/>
      <c r="M28" s="3114"/>
    </row>
    <row r="29" spans="1:13" x14ac:dyDescent="0.25">
      <c r="A29" s="447">
        <f>'Alimentatie 2024-02'!A$50</f>
        <v>60</v>
      </c>
      <c r="B29" s="1361" t="str">
        <f>'Alimentatie 2024-02'!B$50</f>
        <v>Bruto loon volgens jaaropgaaf werkgever(s)</v>
      </c>
      <c r="C29" s="2067"/>
      <c r="D29" s="1405">
        <f>AL60Arbeidsinkomen_AP</f>
        <v>0</v>
      </c>
      <c r="E29" s="2067"/>
      <c r="F29" s="1405">
        <f>AL60Arbeidsinkomen_AG</f>
        <v>0</v>
      </c>
      <c r="H29" s="800" t="s">
        <v>454</v>
      </c>
      <c r="I29" s="561">
        <f>D35</f>
        <v>0</v>
      </c>
      <c r="J29" s="538">
        <f>F35</f>
        <v>0</v>
      </c>
      <c r="L29" s="3113"/>
      <c r="M29" s="3114"/>
    </row>
    <row r="30" spans="1:13" ht="15.75" thickBot="1" x14ac:dyDescent="0.3">
      <c r="A30" s="208" t="s">
        <v>774</v>
      </c>
      <c r="B30" s="1362" t="s">
        <v>773</v>
      </c>
      <c r="C30" s="2067"/>
      <c r="D30" s="1405">
        <f>SUM('Alimentatie 2024-02'!D$57:D$60)</f>
        <v>0</v>
      </c>
      <c r="E30" s="2067"/>
      <c r="F30" s="1405">
        <f>SUM('Alimentatie 2024-02'!F$57:F$60)</f>
        <v>0</v>
      </c>
      <c r="H30" s="800" t="s">
        <v>455</v>
      </c>
      <c r="I30" s="561">
        <f>D39</f>
        <v>0</v>
      </c>
      <c r="J30" s="539">
        <f>F39</f>
        <v>0</v>
      </c>
      <c r="L30" s="3113"/>
      <c r="M30" s="3114"/>
    </row>
    <row r="31" spans="1:13" ht="15.75" thickBot="1" x14ac:dyDescent="0.3">
      <c r="A31" s="447">
        <f>'Alimentatie 2024-02'!A$80</f>
        <v>78</v>
      </c>
      <c r="B31" s="1361" t="str">
        <f>SUBSTITUTE('Alimentatie 2024-02'!B$80,":","")</f>
        <v>Belastbaar resultaat uit overige werkzaamheden</v>
      </c>
      <c r="C31" s="2067"/>
      <c r="D31" s="1405">
        <f>AL78OverigeWerkz_AP</f>
        <v>0</v>
      </c>
      <c r="E31" s="2067"/>
      <c r="F31" s="1405">
        <f>AL78OverigeWerkz_AG</f>
        <v>0</v>
      </c>
      <c r="H31" s="801" t="s">
        <v>456</v>
      </c>
      <c r="I31" s="566">
        <v>0</v>
      </c>
      <c r="J31" s="567">
        <v>0</v>
      </c>
      <c r="K31" s="571"/>
      <c r="L31" s="3115"/>
      <c r="M31" s="3116"/>
    </row>
    <row r="32" spans="1:13" ht="15.75" thickBot="1" x14ac:dyDescent="0.3">
      <c r="A32" s="1354"/>
      <c r="B32" s="1364" t="s">
        <v>775</v>
      </c>
      <c r="C32" s="480"/>
      <c r="D32" s="480">
        <f>SUM(D28:D31)</f>
        <v>0</v>
      </c>
      <c r="E32" s="480"/>
      <c r="F32" s="480">
        <f>SUM(F28:F31)</f>
        <v>0</v>
      </c>
      <c r="H32" s="805" t="s">
        <v>505</v>
      </c>
      <c r="I32" s="806">
        <f>SUM(I28:I31)</f>
        <v>0</v>
      </c>
      <c r="J32" s="806">
        <f>SUM(J28:J31)</f>
        <v>0</v>
      </c>
      <c r="K32" s="570" t="s">
        <v>508</v>
      </c>
      <c r="L32" s="570" t="s">
        <v>789</v>
      </c>
    </row>
    <row r="33" spans="1:12" ht="16.5" thickBot="1" x14ac:dyDescent="0.3">
      <c r="A33" s="1370">
        <f>'Alimentatie 2024-02'!A$144</f>
        <v>98</v>
      </c>
      <c r="B33" s="1365" t="str">
        <f>SUBSTITUTE('Alimentatie 2024-02'!B$144,":","")</f>
        <v>Inkomen uit aanmerkelijk belang</v>
      </c>
      <c r="C33" s="2066"/>
      <c r="D33" s="477">
        <f>'Alimentatie 2024-02'!D$144</f>
        <v>0</v>
      </c>
      <c r="E33" s="2066"/>
      <c r="F33" s="477">
        <f>'Alimentatie 2024-02'!F144</f>
        <v>0</v>
      </c>
      <c r="H33" s="807" t="s">
        <v>958</v>
      </c>
      <c r="I33" s="808">
        <f ca="1">D107</f>
        <v>0</v>
      </c>
      <c r="J33" s="809">
        <f ca="1">F107</f>
        <v>0</v>
      </c>
      <c r="K33" s="810">
        <f ca="1">I33-J33</f>
        <v>0</v>
      </c>
      <c r="L33" s="2136">
        <f ca="1">(D107-F107)-(D107-F107)*BGZVWPremie</f>
        <v>0</v>
      </c>
    </row>
    <row r="34" spans="1:12" ht="15.75" thickBot="1" x14ac:dyDescent="0.3">
      <c r="A34" s="448">
        <f>'Alimentatie 2024-02'!A$155</f>
        <v>103</v>
      </c>
      <c r="B34" s="1363" t="str">
        <f>SUBSTITUTE('Alimentatie 2024-02'!B$155,":","")</f>
        <v>Werkelijke vermogensinkomsten</v>
      </c>
      <c r="C34" s="2068"/>
      <c r="D34" s="577">
        <f>'Alimentatie 2024-02'!D$155</f>
        <v>0</v>
      </c>
      <c r="E34" s="2068"/>
      <c r="F34" s="577">
        <f>'Alimentatie 2024-02'!F155</f>
        <v>0</v>
      </c>
      <c r="K34" s="1356"/>
    </row>
    <row r="35" spans="1:12" ht="15.75" thickBot="1" x14ac:dyDescent="0.3">
      <c r="A35" s="1355"/>
      <c r="B35" s="1366" t="s">
        <v>777</v>
      </c>
      <c r="C35" s="488"/>
      <c r="D35" s="488">
        <f>SUM(D33:D34)</f>
        <v>0</v>
      </c>
      <c r="E35" s="488"/>
      <c r="F35" s="488">
        <f>SUM(F33:F34)</f>
        <v>0</v>
      </c>
    </row>
    <row r="36" spans="1:12" x14ac:dyDescent="0.25">
      <c r="A36" s="447">
        <f>'Alimentatie 2024-02'!A216</f>
        <v>118</v>
      </c>
      <c r="B36" s="1367" t="str">
        <f>'Alimentatie 2024-02'!B216</f>
        <v>Onbelast deel waarde vakantiebonnen</v>
      </c>
      <c r="C36" s="2067"/>
      <c r="D36" s="1405">
        <f>'Alimentatie 2024-02'!D$216</f>
        <v>0</v>
      </c>
      <c r="E36" s="2067" t="s">
        <v>74</v>
      </c>
      <c r="F36" s="1405">
        <f>'Alimentatie 2024-02'!F$216</f>
        <v>0</v>
      </c>
      <c r="I36" s="846"/>
      <c r="J36" s="846"/>
      <c r="K36" s="846"/>
    </row>
    <row r="37" spans="1:12" x14ac:dyDescent="0.25">
      <c r="A37" s="797" t="str">
        <f>'Alimentatie 2024-02'!A224</f>
        <v>119a</v>
      </c>
      <c r="B37" s="1368" t="str">
        <f>'Alimentatie 2024-02'!B224</f>
        <v>Totaal Netto inkomsten (waaronder KGB):</v>
      </c>
      <c r="C37" s="2069"/>
      <c r="D37" s="2064">
        <f>'Alimentatie 2024-02'!D$224</f>
        <v>0</v>
      </c>
      <c r="E37" s="2069" t="s">
        <v>74</v>
      </c>
      <c r="F37" s="2064">
        <f>'Alimentatie 2024-02'!F$224</f>
        <v>0</v>
      </c>
    </row>
    <row r="38" spans="1:12" ht="15.75" thickBot="1" x14ac:dyDescent="0.3">
      <c r="A38" s="797" t="str">
        <f>'Alimentatie 2024-02'!A227</f>
        <v>119b</v>
      </c>
      <c r="B38" s="2100" t="str">
        <f>'Alimentatie 2024-02'!B227</f>
        <v xml:space="preserve">Post 51a: Netto uitgaven pensioenvoorziening (vrijgesteld in box III) </v>
      </c>
      <c r="C38" s="2070"/>
      <c r="D38" s="2064">
        <f>'Alimentatie 2024-02'!D227</f>
        <v>0</v>
      </c>
      <c r="E38" s="2070" t="s">
        <v>69</v>
      </c>
      <c r="F38" s="2064">
        <f>'Alimentatie 2024-02'!F227</f>
        <v>0</v>
      </c>
    </row>
    <row r="39" spans="1:12" ht="15.75" thickBot="1" x14ac:dyDescent="0.3">
      <c r="A39" s="536"/>
      <c r="B39" s="1369" t="s">
        <v>778</v>
      </c>
      <c r="C39" s="474"/>
      <c r="D39" s="474">
        <f>SUM(D36:D37)-D38</f>
        <v>0</v>
      </c>
      <c r="E39" s="474"/>
      <c r="F39" s="474">
        <f>SUM(F36:F37)-F38</f>
        <v>0</v>
      </c>
    </row>
    <row r="40" spans="1:12" ht="15.75" thickBot="1" x14ac:dyDescent="0.3">
      <c r="A40" s="447"/>
      <c r="B40" s="1361" t="s">
        <v>776</v>
      </c>
      <c r="C40" s="2067"/>
      <c r="D40" s="2115"/>
      <c r="E40" s="2067"/>
      <c r="F40" s="1405">
        <f>J31</f>
        <v>0</v>
      </c>
    </row>
    <row r="41" spans="1:12" ht="15.75" thickBot="1" x14ac:dyDescent="0.3">
      <c r="A41" s="536"/>
      <c r="B41" s="1369" t="s">
        <v>779</v>
      </c>
      <c r="C41" s="474"/>
      <c r="D41" s="474">
        <f>D32+D35+D39+D40</f>
        <v>0</v>
      </c>
      <c r="E41" s="474"/>
      <c r="F41" s="474">
        <f>F32+F35+F39+F40</f>
        <v>0</v>
      </c>
    </row>
    <row r="42" spans="1:12" ht="15.75" thickBot="1" x14ac:dyDescent="0.3"/>
    <row r="43" spans="1:12" ht="15.75" thickBot="1" x14ac:dyDescent="0.3">
      <c r="A43" s="132" t="s">
        <v>240</v>
      </c>
      <c r="B43" s="780" t="s">
        <v>102</v>
      </c>
      <c r="C43" s="3119" t="str">
        <f>BGPartner_AP</f>
        <v>Alimentatie Plichtig</v>
      </c>
      <c r="D43" s="3120"/>
      <c r="E43" s="3117" t="str">
        <f>BGPartner_AG</f>
        <v>Alimentatie Gerechtigd</v>
      </c>
      <c r="F43" s="3118"/>
    </row>
    <row r="44" spans="1:12" x14ac:dyDescent="0.25">
      <c r="A44" s="1370">
        <f>'Alimentatie 2024-02'!A$56</f>
        <v>64</v>
      </c>
      <c r="B44" s="1357" t="str">
        <f>'Alimentatie 2024-02'!B$56</f>
        <v>Belastbaar loon:</v>
      </c>
      <c r="C44" s="464">
        <f>AL64BelastbaarLoon_AP</f>
        <v>0</v>
      </c>
      <c r="D44" s="2123" t="s">
        <v>74</v>
      </c>
      <c r="E44" s="464">
        <f>AL64BelastbaarLoon_AG</f>
        <v>0</v>
      </c>
      <c r="F44" s="2118" t="s">
        <v>74</v>
      </c>
    </row>
    <row r="45" spans="1:12" ht="15" customHeight="1" x14ac:dyDescent="0.25">
      <c r="A45" s="447">
        <f>'Alimentatie 2024-02'!A$75</f>
        <v>75</v>
      </c>
      <c r="B45" s="472" t="str">
        <f>'Alimentatie 2024-02'!B$75</f>
        <v>Belastbare winst uit onderneming:</v>
      </c>
      <c r="C45" s="486">
        <f>AL75BelastbareWinst_AP</f>
        <v>0</v>
      </c>
      <c r="D45" s="2124" t="s">
        <v>74</v>
      </c>
      <c r="E45" s="486">
        <f>AL75BelastbareWinst_AG</f>
        <v>0</v>
      </c>
      <c r="F45" s="2119" t="s">
        <v>74</v>
      </c>
    </row>
    <row r="46" spans="1:12" ht="15" customHeight="1" x14ac:dyDescent="0.25">
      <c r="A46" s="447">
        <f>'Alimentatie 2024-02'!A$80</f>
        <v>78</v>
      </c>
      <c r="B46" s="472" t="str">
        <f>'Alimentatie 2024-02'!B$80</f>
        <v>Belastbaar resultaat uit overige werkzaamheden:</v>
      </c>
      <c r="C46" s="486">
        <f>AL78OverigeWerkz_AP</f>
        <v>0</v>
      </c>
      <c r="D46" s="2124" t="s">
        <v>74</v>
      </c>
      <c r="E46" s="486">
        <f>AL78OverigeWerkz_AG</f>
        <v>0</v>
      </c>
      <c r="F46" s="2119" t="s">
        <v>74</v>
      </c>
      <c r="H46" s="1"/>
      <c r="I46" s="1"/>
      <c r="J46" s="1"/>
      <c r="K46" s="1"/>
    </row>
    <row r="47" spans="1:12" ht="15" customHeight="1" x14ac:dyDescent="0.25">
      <c r="A47" s="447">
        <f>'Alimentatie 2024-02'!A$86</f>
        <v>81</v>
      </c>
      <c r="B47" s="472" t="str">
        <f>'Alimentatie 2024-02'!B$86</f>
        <v>Belastbare periodieke uitkeringen en verstrekkingen:</v>
      </c>
      <c r="C47" s="486">
        <f>AL81PeriodiekeUitk_AP</f>
        <v>0</v>
      </c>
      <c r="D47" s="2124" t="s">
        <v>74</v>
      </c>
      <c r="E47" s="486">
        <f>AL81PeriodiekeUitk_AG</f>
        <v>0</v>
      </c>
      <c r="F47" s="2119" t="s">
        <v>74</v>
      </c>
      <c r="H47" s="1"/>
      <c r="I47" s="1"/>
      <c r="J47" s="1"/>
      <c r="K47" s="1"/>
    </row>
    <row r="48" spans="1:12" ht="15" customHeight="1" x14ac:dyDescent="0.25">
      <c r="A48" s="447">
        <f>'Alimentatie 2024-02'!A$89</f>
        <v>81</v>
      </c>
      <c r="B48" s="2099" t="str">
        <f>'Alimentatie 2024-02'!B89</f>
        <v>OEW Fictief inkomen: Eigen Woning Forfait ontvangen als partneralimentatie</v>
      </c>
      <c r="C48" s="486">
        <f>IF(BGOEWRekenModule="Nee",0,BGOEW81EWFPA_AP)</f>
        <v>0</v>
      </c>
      <c r="D48" s="2124" t="s">
        <v>74</v>
      </c>
      <c r="E48" s="486">
        <f>IF(BGOEWRekenModule="Nee",0,BGOEW81EWFPA_AG)</f>
        <v>0</v>
      </c>
      <c r="F48" s="2119" t="s">
        <v>74</v>
      </c>
      <c r="H48" s="1"/>
      <c r="I48" s="1"/>
      <c r="J48" s="1"/>
      <c r="K48" s="1"/>
    </row>
    <row r="49" spans="1:13" x14ac:dyDescent="0.25">
      <c r="A49" s="447">
        <f>'Alimentatie 2024-02'!A90</f>
        <v>81</v>
      </c>
      <c r="B49" s="472" t="str">
        <f>'Alimentatie 2024-02'!B90</f>
        <v>OEW Fictief inkomen: Rente ontvangen als partneralimentatie</v>
      </c>
      <c r="C49" s="486">
        <f>IF(BGOEWRekenModule="Nee",0,BGOEW81RentePA_AP)</f>
        <v>0</v>
      </c>
      <c r="D49" s="2124"/>
      <c r="E49" s="486">
        <f>IF(BGOEWRekenModule="Nee",0,BGOEW81RentePA_AG)</f>
        <v>0</v>
      </c>
      <c r="F49" s="2119"/>
      <c r="H49" s="1"/>
      <c r="I49" s="1"/>
      <c r="J49" s="1"/>
      <c r="K49" s="1"/>
    </row>
    <row r="50" spans="1:13" x14ac:dyDescent="0.25">
      <c r="A50" s="447">
        <f>'Alimentatie 2024-02'!A$108</f>
        <v>89</v>
      </c>
      <c r="B50" s="472" t="str">
        <f>'Alimentatie 2024-02'!B108</f>
        <v>Uitgaven voor inkomensvoorziening:</v>
      </c>
      <c r="C50" s="486">
        <f>AL89Inkomensvoorz_AP</f>
        <v>0</v>
      </c>
      <c r="D50" s="2124" t="s">
        <v>69</v>
      </c>
      <c r="E50" s="486">
        <f>'Alimentatie 2024-02'!F108</f>
        <v>0</v>
      </c>
      <c r="F50" s="2119" t="s">
        <v>69</v>
      </c>
      <c r="H50" s="1"/>
      <c r="I50" s="1"/>
      <c r="J50" s="1"/>
      <c r="K50" s="1"/>
    </row>
    <row r="51" spans="1:13" x14ac:dyDescent="0.25">
      <c r="A51" s="447">
        <f>'Alimentatie 2024-02'!A$110</f>
        <v>90</v>
      </c>
      <c r="B51" s="472" t="str">
        <f>'Alimentatie 2024-02'!B$110</f>
        <v>Uitgaven voor kinderopvang (vervallen):</v>
      </c>
      <c r="C51" s="486">
        <f>AL89Inkomensvoorz_AG</f>
        <v>0</v>
      </c>
      <c r="D51" s="2071" t="s">
        <v>69</v>
      </c>
      <c r="E51" s="486">
        <f>'Alimentatie 2024-02'!F110</f>
        <v>0</v>
      </c>
      <c r="F51" s="2072" t="s">
        <v>69</v>
      </c>
      <c r="H51" s="1"/>
      <c r="I51" s="1"/>
      <c r="J51" s="1"/>
      <c r="K51" s="1"/>
    </row>
    <row r="52" spans="1:13" x14ac:dyDescent="0.25">
      <c r="A52" s="447">
        <f>'Alimentatie 2024-02'!A$116</f>
        <v>93</v>
      </c>
      <c r="B52" s="472" t="str">
        <f>'Alimentatie 2024-02'!B$116</f>
        <v>Persoonsgebonden aftrek:</v>
      </c>
      <c r="C52" s="486">
        <f>AL93PersGebAftrek_AP</f>
        <v>0</v>
      </c>
      <c r="D52" s="2071" t="s">
        <v>69</v>
      </c>
      <c r="E52" s="486">
        <f>'Alimentatie 2024-02'!F116</f>
        <v>0</v>
      </c>
      <c r="F52" s="2072" t="s">
        <v>69</v>
      </c>
      <c r="H52" s="1"/>
      <c r="I52" s="1"/>
      <c r="J52" s="1"/>
      <c r="K52" s="1"/>
    </row>
    <row r="53" spans="1:13" x14ac:dyDescent="0.25">
      <c r="A53" s="447">
        <f>'Alimentatie 2024-02'!A$279</f>
        <v>138</v>
      </c>
      <c r="B53" s="784" t="str">
        <f>'Alimentatie 2024-02'!B$279</f>
        <v xml:space="preserve">Alimentatieverplichting (eerdere) ex-partner </v>
      </c>
      <c r="C53" s="497">
        <f>'Alimentatie 2024-02'!D$279*12</f>
        <v>0</v>
      </c>
      <c r="D53" s="2071" t="s">
        <v>69</v>
      </c>
      <c r="E53" s="497">
        <f>('Alimentatie 2024-02'!F279+'Alimentatie 2024-02'!F282)*12</f>
        <v>0</v>
      </c>
      <c r="F53" s="2072" t="s">
        <v>69</v>
      </c>
      <c r="H53" s="1"/>
      <c r="I53" s="1"/>
      <c r="J53" s="1"/>
      <c r="K53" s="1"/>
    </row>
    <row r="54" spans="1:13" ht="15.75" thickBot="1" x14ac:dyDescent="0.3">
      <c r="A54" s="448">
        <f>'Alimentatie 2024-02'!A$282</f>
        <v>138</v>
      </c>
      <c r="B54" s="2100" t="str">
        <f>'Alimentatie 2024-02'!B$282</f>
        <v>OEW: Hypotheekrente betaald voor ex. partner als partneralimentatie</v>
      </c>
      <c r="C54" s="497">
        <f>IF(BGOEWRekenModule="Nee",0,BGOEW138RentePA_AP)</f>
        <v>0</v>
      </c>
      <c r="D54" s="2071" t="s">
        <v>69</v>
      </c>
      <c r="E54" s="497"/>
      <c r="F54" s="2072" t="s">
        <v>69</v>
      </c>
    </row>
    <row r="55" spans="1:13" ht="15.75" thickBot="1" x14ac:dyDescent="0.3">
      <c r="A55" s="536"/>
      <c r="B55" s="1369" t="s">
        <v>782</v>
      </c>
      <c r="C55" s="474">
        <f>SUM(C44:C49)-SUM(C50:C54)</f>
        <v>0</v>
      </c>
      <c r="D55" s="1380"/>
      <c r="E55" s="474">
        <f>SUM(E44:E49)-SUM(E50:E54)</f>
        <v>0</v>
      </c>
      <c r="F55" s="474"/>
    </row>
    <row r="56" spans="1:13" ht="15.75" thickBot="1" x14ac:dyDescent="0.3">
      <c r="A56" s="240"/>
      <c r="B56" s="785" t="s">
        <v>780</v>
      </c>
      <c r="C56" s="487">
        <f>J31</f>
        <v>0</v>
      </c>
      <c r="D56" s="2073" t="s">
        <v>69</v>
      </c>
      <c r="E56" s="487">
        <f>J31</f>
        <v>0</v>
      </c>
      <c r="F56" s="2074" t="s">
        <v>69</v>
      </c>
    </row>
    <row r="57" spans="1:13" ht="15.75" thickBot="1" x14ac:dyDescent="0.3">
      <c r="A57" s="1354">
        <v>94</v>
      </c>
      <c r="B57" s="1383" t="s">
        <v>783</v>
      </c>
      <c r="C57" s="480">
        <f>C55-C56</f>
        <v>0</v>
      </c>
      <c r="D57" s="2075"/>
      <c r="E57" s="480">
        <f>E55+E56</f>
        <v>0</v>
      </c>
      <c r="F57" s="2076"/>
      <c r="H57" s="846"/>
    </row>
    <row r="58" spans="1:13" x14ac:dyDescent="0.25">
      <c r="A58" s="1392"/>
      <c r="B58" s="1389" t="s">
        <v>787</v>
      </c>
      <c r="C58" s="1393">
        <f>IF(Basisgegevens!V11&lt;=0,'Alimentatie 2024-02'!D134-(J31*BGBelastingTariefSchijf1),Basisgegevens!V11)</f>
        <v>0</v>
      </c>
      <c r="D58" s="2120" t="s">
        <v>74</v>
      </c>
      <c r="E58" s="1393">
        <f>Basisgegevens!W11</f>
        <v>0</v>
      </c>
      <c r="F58" s="2120" t="s">
        <v>74</v>
      </c>
      <c r="G58" s="846"/>
      <c r="H58" s="846"/>
      <c r="I58" s="846"/>
    </row>
    <row r="59" spans="1:13" x14ac:dyDescent="0.25">
      <c r="A59" s="1381">
        <f>'Alimentatie 2024-02'!A147</f>
        <v>101</v>
      </c>
      <c r="B59" s="1385" t="str">
        <f>'Alimentatie 2024-02'!B147</f>
        <v>Inkomstebelasting (het o.b.v. belastbaar inkomen geldende tarief is: 24,5%) box II:</v>
      </c>
      <c r="C59" s="1386">
        <f>'Alimentatie 2024-02'!D147</f>
        <v>0</v>
      </c>
      <c r="D59" s="2121" t="s">
        <v>74</v>
      </c>
      <c r="E59" s="1386">
        <f>'Alimentatie 2024-02'!F147</f>
        <v>0</v>
      </c>
      <c r="F59" s="2121" t="s">
        <v>74</v>
      </c>
    </row>
    <row r="60" spans="1:13" ht="15.75" thickBot="1" x14ac:dyDescent="0.3">
      <c r="A60" s="1382">
        <f>'Alimentatie 2024-02'!A176</f>
        <v>112</v>
      </c>
      <c r="B60" s="1394" t="str">
        <f>'Alimentatie 2024-02'!B176</f>
        <v>Inkomstebelasting (vast tarief 36%) box III:</v>
      </c>
      <c r="C60" s="1395">
        <f>'Alimentatie 2024-02'!D176</f>
        <v>0</v>
      </c>
      <c r="D60" s="2122" t="s">
        <v>74</v>
      </c>
      <c r="E60" s="1395">
        <f>'Alimentatie 2024-02'!F176</f>
        <v>0</v>
      </c>
      <c r="F60" s="2122" t="s">
        <v>74</v>
      </c>
      <c r="G60" s="846"/>
    </row>
    <row r="61" spans="1:13" x14ac:dyDescent="0.25">
      <c r="A61" s="184"/>
      <c r="B61" s="1397" t="s">
        <v>784</v>
      </c>
      <c r="C61" s="2077"/>
      <c r="D61" s="2090">
        <f>C57</f>
        <v>0</v>
      </c>
      <c r="E61" s="1388"/>
      <c r="F61" s="2090">
        <f>L31+SUM('Alimentatie 2024-02'!F69:F74)+E53+E54</f>
        <v>0</v>
      </c>
    </row>
    <row r="62" spans="1:13" ht="15.75" thickBot="1" x14ac:dyDescent="0.3">
      <c r="A62" s="10"/>
      <c r="B62" s="1398" t="s">
        <v>785</v>
      </c>
      <c r="C62" s="1387">
        <f>IF(D61&lt;=0.01,0,(BGBelastingTariefSchijf2-BGBelastingTariefBeperking)*IF(D61-(BGBelastingbedragSchijf3-C57)&gt;D61,D61,D62))</f>
        <v>0</v>
      </c>
      <c r="D62" s="577">
        <f>IF(D61&lt;=0.01,0,IF(C$57-BGBelastingbedragSchijf3&lt;0,D61-(BGBelastingbedragSchijf3-C57),IF(C$57-BGBelastingbedragSchijf3&lt;=SUM('Alimentatie 2024-02'!B$69:B$74)+SUM('Alimentatie 2024-02'!B$97:B$101)+AL93PersGebAftrek_AP,C$57-BGBelastingbedragSchijf3,SUM('Alimentatie 2024-02'!B$69:$D74)+SUM('Alimentatie 2024-02'!B$97:B$102)+AL93PersGebAftrek_AP)))</f>
        <v>0</v>
      </c>
      <c r="E62" s="1387">
        <f>(BGBelastingTariefSchijf2-BGBelastingTariefBeperking)*IF(F61-(BGBelastingbedragSchijf3-E57)&gt;F61,F61,F62)</f>
        <v>0</v>
      </c>
      <c r="F62" s="577">
        <f>IF(E$57-BGBelastingbedragSchijf3&lt;=0,0,IF(E$57-BGBelastingbedragSchijf3&lt;=SUM('Alimentatie 2024-02'!D$69:D$74)+SUM('Alimentatie 2024-02'!D$97:D$101)+AL93PersGebAftrek_AP,E$57-BGBelastingbedragSchijf3,SUM('Alimentatie 2024-02'!D$69:$D74)+SUM('Alimentatie 2024-02'!D$97:D$102)+AL93PersGebAftrek_AP))</f>
        <v>0</v>
      </c>
      <c r="M62" s="2137"/>
    </row>
    <row r="63" spans="1:13" ht="15.75" thickBot="1" x14ac:dyDescent="0.3">
      <c r="A63" s="1355"/>
      <c r="B63" s="1391" t="s">
        <v>499</v>
      </c>
      <c r="C63" s="474">
        <f>SUM(C58:C62)</f>
        <v>0</v>
      </c>
      <c r="D63" s="1380"/>
      <c r="E63" s="474">
        <f>SUM(E58:E62)</f>
        <v>0</v>
      </c>
      <c r="F63" s="526"/>
    </row>
    <row r="64" spans="1:13" ht="15.75" thickBot="1" x14ac:dyDescent="0.3">
      <c r="A64" s="564"/>
      <c r="C64" s="565"/>
      <c r="E64" s="565"/>
    </row>
    <row r="65" spans="1:7" ht="15.75" thickBot="1" x14ac:dyDescent="0.3">
      <c r="A65" s="553"/>
      <c r="B65" s="779" t="s">
        <v>496</v>
      </c>
      <c r="C65" s="3119" t="str">
        <f>BGPartner_AP</f>
        <v>Alimentatie Plichtig</v>
      </c>
      <c r="D65" s="3120"/>
      <c r="E65" s="3119" t="str">
        <f>BGPartner_AG</f>
        <v>Alimentatie Gerechtigd</v>
      </c>
      <c r="F65" s="3120"/>
    </row>
    <row r="66" spans="1:7" x14ac:dyDescent="0.25">
      <c r="A66" s="551"/>
      <c r="B66" s="781" t="s">
        <v>134</v>
      </c>
      <c r="C66" s="552">
        <f>IF(BGAOWLeeftijdBereikt_AP="Nee",Basisgegevens!T101,Basisgegevens!T110)</f>
        <v>0</v>
      </c>
      <c r="D66" s="2078" t="s">
        <v>74</v>
      </c>
      <c r="E66" s="802">
        <f>IF(BGAOWLeeftijdBereikt_AG="Nee",Basisgegevens!U101,Basisgegevens!U110)</f>
        <v>0</v>
      </c>
      <c r="F66" s="2078" t="s">
        <v>74</v>
      </c>
    </row>
    <row r="67" spans="1:7" x14ac:dyDescent="0.25">
      <c r="A67" s="535"/>
      <c r="B67" s="782" t="s">
        <v>133</v>
      </c>
      <c r="C67" s="497">
        <f>IF(BGAOWLeeftijdBereikt_AP="Nee",Basisgegevens!T121,Basisgegevens!T130)</f>
        <v>0</v>
      </c>
      <c r="D67" s="2079" t="s">
        <v>74</v>
      </c>
      <c r="E67" s="803">
        <f>IF(BGAOWLeeftijdBereikt_AG="Nee",Basisgegevens!U121,Basisgegevens!U130)</f>
        <v>0</v>
      </c>
      <c r="F67" s="2079" t="s">
        <v>74</v>
      </c>
    </row>
    <row r="68" spans="1:7" x14ac:dyDescent="0.25">
      <c r="A68" s="535"/>
      <c r="B68" s="782" t="s">
        <v>36</v>
      </c>
      <c r="C68" s="497" t="str">
        <f>IF(OR(Basisgegevens!T84="n.v.t",Basisgegevens!T84="zie AOW-tabel"),Basisgegevens!T92,Basisgegevens!T84)</f>
        <v>n.v.t</v>
      </c>
      <c r="D68" s="2079" t="s">
        <v>74</v>
      </c>
      <c r="E68" s="803">
        <f>IF(OR(Basisgegevens!U84="n.v.t",Basisgegevens!U84="zie AOW-tabel"),Basisgegevens!U92,Basisgegevens!U84)</f>
        <v>0</v>
      </c>
      <c r="F68" s="2079" t="s">
        <v>74</v>
      </c>
    </row>
    <row r="69" spans="1:7" x14ac:dyDescent="0.25">
      <c r="A69" s="535"/>
      <c r="B69" s="782" t="s">
        <v>37</v>
      </c>
      <c r="C69" s="497" t="str">
        <f>Basisgegevens!Q138</f>
        <v>n.v.t</v>
      </c>
      <c r="D69" s="2079" t="s">
        <v>74</v>
      </c>
      <c r="E69" s="803" t="str">
        <f>Basisgegevens!U138</f>
        <v>n.v.t</v>
      </c>
      <c r="F69" s="2079" t="s">
        <v>74</v>
      </c>
    </row>
    <row r="70" spans="1:7" x14ac:dyDescent="0.25">
      <c r="A70" s="535"/>
      <c r="B70" s="782" t="s">
        <v>139</v>
      </c>
      <c r="C70" s="497" t="str">
        <f>Basisgegevens!Q56</f>
        <v>n.v.t</v>
      </c>
      <c r="D70" s="2079" t="s">
        <v>74</v>
      </c>
      <c r="E70" s="803" t="str">
        <f>Basisgegevens!R56</f>
        <v>n.v.t</v>
      </c>
      <c r="F70" s="2079" t="s">
        <v>74</v>
      </c>
    </row>
    <row r="71" spans="1:7" ht="15.75" thickBot="1" x14ac:dyDescent="0.3">
      <c r="A71" s="10"/>
      <c r="B71" s="783" t="s">
        <v>498</v>
      </c>
      <c r="C71" s="487">
        <f>'Alimentatie 2024-02'!D189</f>
        <v>0</v>
      </c>
      <c r="D71" s="2080" t="s">
        <v>74</v>
      </c>
      <c r="E71" s="804">
        <f>'Alimentatie 2024-02'!F189</f>
        <v>0</v>
      </c>
      <c r="F71" s="2080" t="s">
        <v>74</v>
      </c>
    </row>
    <row r="72" spans="1:7" ht="15.75" thickBot="1" x14ac:dyDescent="0.3">
      <c r="A72" s="536">
        <f>'Alimentatie 2024-02'!A190</f>
        <v>116</v>
      </c>
      <c r="B72" s="777" t="s">
        <v>497</v>
      </c>
      <c r="C72" s="474">
        <f>SUM(C66:C71)</f>
        <v>0</v>
      </c>
      <c r="D72" s="526"/>
      <c r="E72" s="525">
        <f>SUM(E66:E71)</f>
        <v>0</v>
      </c>
      <c r="F72" s="526"/>
    </row>
    <row r="73" spans="1:7" ht="15.75" thickBot="1" x14ac:dyDescent="0.3">
      <c r="A73" s="121">
        <f>'Alimentatie 2024-02'!A191</f>
        <v>117</v>
      </c>
      <c r="B73" s="1390" t="str">
        <f>'Alimentatie 2024-02'!B191</f>
        <v>Verschuldigde inkomensheffing:</v>
      </c>
      <c r="C73" s="2081"/>
      <c r="D73" s="122">
        <f>IF(C63-C72&lt;0,0,C63-C72)</f>
        <v>0</v>
      </c>
      <c r="E73" s="2082"/>
      <c r="F73" s="122">
        <f>IF(E63-E72&lt;0,0,E63-E72)</f>
        <v>0</v>
      </c>
    </row>
    <row r="74" spans="1:7" ht="15.75" thickBot="1" x14ac:dyDescent="0.3">
      <c r="A74" s="564"/>
      <c r="C74" s="565"/>
      <c r="E74" s="565"/>
    </row>
    <row r="75" spans="1:7" ht="15.75" thickBot="1" x14ac:dyDescent="0.3">
      <c r="A75" s="553"/>
      <c r="B75" s="795" t="s">
        <v>500</v>
      </c>
      <c r="C75" s="3119" t="str">
        <f>BGPartner_AP</f>
        <v>Alimentatie Plichtig</v>
      </c>
      <c r="D75" s="3120"/>
      <c r="E75" s="3117" t="str">
        <f>BGPartner_AG</f>
        <v>Alimentatie Gerechtigd</v>
      </c>
      <c r="F75" s="3118"/>
    </row>
    <row r="76" spans="1:7" ht="15.75" thickBot="1" x14ac:dyDescent="0.3">
      <c r="A76" s="2101"/>
      <c r="B76" t="s">
        <v>500</v>
      </c>
      <c r="C76" s="2083"/>
      <c r="D76" s="2091">
        <f>D41-D73</f>
        <v>0</v>
      </c>
      <c r="E76" s="2162" t="s">
        <v>74</v>
      </c>
      <c r="F76" s="2091">
        <f>F41-F73</f>
        <v>0</v>
      </c>
    </row>
    <row r="77" spans="1:7" ht="15.75" thickBot="1" x14ac:dyDescent="0.3">
      <c r="A77" s="2103" t="str">
        <f>A11</f>
        <v>125-134</v>
      </c>
      <c r="B77" s="2157" t="str">
        <f>B11</f>
        <v xml:space="preserve">Niet vermijdbare en aantoonbare extra lasten per maand (post 125 t/m 134): </v>
      </c>
      <c r="C77" s="2104"/>
      <c r="D77" s="479">
        <f>Woonlasten_afwijkend!D44*12</f>
        <v>0</v>
      </c>
      <c r="E77" s="2163" t="s">
        <v>788</v>
      </c>
      <c r="F77" s="479">
        <f>Woonlasten_afwijkend!F44*12</f>
        <v>0</v>
      </c>
      <c r="G77" s="2158" t="s">
        <v>69</v>
      </c>
    </row>
    <row r="78" spans="1:7" ht="18" thickBot="1" x14ac:dyDescent="0.45">
      <c r="A78" s="2152"/>
      <c r="B78" s="2153" t="s">
        <v>953</v>
      </c>
      <c r="C78" s="2154"/>
      <c r="D78" s="2155"/>
      <c r="E78" s="2154"/>
      <c r="F78" s="2156"/>
    </row>
    <row r="79" spans="1:7" x14ac:dyDescent="0.25">
      <c r="A79" s="1370" t="str">
        <f>'Alimentatie 2024-02'!A$197</f>
        <v>41/57</v>
      </c>
      <c r="B79" s="443" t="str">
        <f>'Alimentatie 2024-02'!B$197</f>
        <v>Ink.afhankelijke bijdrage premie ZVW al betaald bij post 41 Looninkomsten</v>
      </c>
      <c r="C79" s="513">
        <f>'Alimentatie 2024-02'!E$197</f>
        <v>0</v>
      </c>
      <c r="D79" s="2318" t="s">
        <v>69</v>
      </c>
      <c r="E79" s="513">
        <f>'Alimentatie 2024-02'!G$197</f>
        <v>0</v>
      </c>
      <c r="F79" s="2159" t="s">
        <v>69</v>
      </c>
    </row>
    <row r="80" spans="1:7" x14ac:dyDescent="0.25">
      <c r="A80" s="447" t="str">
        <f>'Alimentatie 2024-02'!A$198</f>
        <v>42/57</v>
      </c>
      <c r="B80" s="2322" t="str">
        <f>'Alimentatie 2024-02'!B$198</f>
        <v>Ink.afhankelijke bijdrage premie ZVW al betaald bij post 42 AOW</v>
      </c>
      <c r="C80" s="514">
        <f>'Alimentatie 2024-02'!E$198</f>
        <v>0</v>
      </c>
      <c r="D80" s="2319" t="s">
        <v>69</v>
      </c>
      <c r="E80" s="514">
        <f>'Alimentatie 2024-02'!G$198</f>
        <v>0</v>
      </c>
      <c r="F80" s="2317" t="s">
        <v>69</v>
      </c>
    </row>
    <row r="81" spans="1:7" ht="15.75" thickBot="1" x14ac:dyDescent="0.3">
      <c r="A81" s="448" t="str">
        <f>'Alimentatie 2024-02'!A$199</f>
        <v>50/57</v>
      </c>
      <c r="B81" s="2323" t="str">
        <f>'Alimentatie 2024-02'!B$199</f>
        <v>Ink.afhankelijke bijdrage premie ZVW al betaald bij post 50 Pensioen</v>
      </c>
      <c r="C81" s="2315">
        <f>'Alimentatie 2024-02'!E$199</f>
        <v>0</v>
      </c>
      <c r="D81" s="2326" t="s">
        <v>69</v>
      </c>
      <c r="E81" s="2315">
        <f>'Alimentatie 2024-02'!G$199</f>
        <v>0</v>
      </c>
      <c r="F81" s="2327" t="s">
        <v>69</v>
      </c>
    </row>
    <row r="82" spans="1:7" x14ac:dyDescent="0.25">
      <c r="A82" s="446" t="str">
        <f>'Alimentatie 2024-02'!A$205</f>
        <v>44/47/48</v>
      </c>
      <c r="B82" s="843" t="str">
        <f>'Alimentatie 2024-02'!B$205</f>
        <v>Bruto arbeidsinkomen uit dienstbetrekking (1 en 2) als DGA? Nee (AP) / Nee (AG)</v>
      </c>
      <c r="C82" s="515">
        <f>'Alimentatie 2024-02'!E$205</f>
        <v>0</v>
      </c>
      <c r="D82" s="2324" t="s">
        <v>69</v>
      </c>
      <c r="E82" s="515">
        <f>'Alimentatie 2024-02'!G$205</f>
        <v>0</v>
      </c>
      <c r="F82" s="2325" t="s">
        <v>69</v>
      </c>
    </row>
    <row r="83" spans="1:7" x14ac:dyDescent="0.25">
      <c r="A83" s="447">
        <f>'Alimentatie 2024-02'!A$206</f>
        <v>75</v>
      </c>
      <c r="B83" s="2322" t="str">
        <f>'Alimentatie 2024-02'!B$206</f>
        <v>Belastbare winst uit onderneming</v>
      </c>
      <c r="C83" s="514">
        <f>'Alimentatie 2024-02'!E$206</f>
        <v>0</v>
      </c>
      <c r="D83" s="2320" t="s">
        <v>69</v>
      </c>
      <c r="E83" s="514">
        <f>'Alimentatie 2024-02'!G$206</f>
        <v>0</v>
      </c>
      <c r="F83" s="2160" t="s">
        <v>69</v>
      </c>
    </row>
    <row r="84" spans="1:7" x14ac:dyDescent="0.25">
      <c r="A84" s="447">
        <f>'Alimentatie 2024-02'!A$207</f>
        <v>78</v>
      </c>
      <c r="B84" s="2322" t="str">
        <f>'Alimentatie 2024-02'!B$207</f>
        <v>Belastbaar resultaat uit overige werkzaamheden</v>
      </c>
      <c r="C84" s="514">
        <f>'Alimentatie 2024-02'!E$207</f>
        <v>0</v>
      </c>
      <c r="D84" s="2320" t="s">
        <v>69</v>
      </c>
      <c r="E84" s="514">
        <f>'Alimentatie 2024-02'!G$207</f>
        <v>0</v>
      </c>
      <c r="F84" s="2160" t="s">
        <v>69</v>
      </c>
    </row>
    <row r="85" spans="1:7" x14ac:dyDescent="0.25">
      <c r="A85" s="447">
        <f>'Alimentatie 2024-02'!A$209</f>
        <v>81</v>
      </c>
      <c r="B85" s="2322" t="str">
        <f>'Alimentatie 2024-02'!B$209</f>
        <v>Belastbare periodieke uitkeringen en verstrekkingen</v>
      </c>
      <c r="C85" s="514">
        <f>'Alimentatie 2024-02'!E$209</f>
        <v>0</v>
      </c>
      <c r="D85" s="2320" t="s">
        <v>69</v>
      </c>
      <c r="E85" s="514">
        <f>'Alimentatie 2024-02'!G$209</f>
        <v>0</v>
      </c>
      <c r="F85" s="2160" t="s">
        <v>69</v>
      </c>
    </row>
    <row r="86" spans="1:7" x14ac:dyDescent="0.25">
      <c r="A86" s="447" t="str">
        <f>'Alimentatie 2024-02'!A$210</f>
        <v>117a</v>
      </c>
      <c r="B86" s="2322" t="str">
        <f>'Alimentatie 2024-02'!B$210</f>
        <v>OEW: Eigen Woning Forfait bijdrage ZVW over EWF berekenen over</v>
      </c>
      <c r="C86" s="514">
        <f ca="1">'Alimentatie 2024-02'!E$210</f>
        <v>0</v>
      </c>
      <c r="D86" s="2320" t="s">
        <v>69</v>
      </c>
      <c r="E86" s="514">
        <f ca="1">'Alimentatie 2024-02'!G$210</f>
        <v>0</v>
      </c>
      <c r="F86" s="2160" t="s">
        <v>69</v>
      </c>
    </row>
    <row r="87" spans="1:7" ht="15.75" thickBot="1" x14ac:dyDescent="0.3">
      <c r="A87" s="448" t="str">
        <f>'Alimentatie 2024-02'!A$211</f>
        <v>117a</v>
      </c>
      <c r="B87" s="2323" t="str">
        <f>'Alimentatie 2024-02'!B$211</f>
        <v>OEW: Rente bijdrage ZVW over de rente berekenen over</v>
      </c>
      <c r="C87" s="2315">
        <f ca="1">'Alimentatie 2024-02'!E$211</f>
        <v>0</v>
      </c>
      <c r="D87" s="2321" t="s">
        <v>69</v>
      </c>
      <c r="E87" s="2315">
        <f ca="1">'Alimentatie 2024-02'!G$211</f>
        <v>0</v>
      </c>
      <c r="F87" s="2161" t="s">
        <v>69</v>
      </c>
    </row>
    <row r="88" spans="1:7" ht="15.75" thickBot="1" x14ac:dyDescent="0.3">
      <c r="A88" s="2312"/>
      <c r="B88" s="2313" t="s">
        <v>952</v>
      </c>
      <c r="C88" s="2314"/>
      <c r="D88" s="2316">
        <f ca="1">SUM(C79:C87)</f>
        <v>0</v>
      </c>
      <c r="E88" s="2139" t="s">
        <v>69</v>
      </c>
      <c r="F88" s="2316">
        <f ca="1">SUM(E79:E87)</f>
        <v>0</v>
      </c>
      <c r="G88" s="2106" t="s">
        <v>69</v>
      </c>
    </row>
    <row r="89" spans="1:7" ht="15.75" thickBot="1" x14ac:dyDescent="0.3">
      <c r="A89" s="1371">
        <v>117</v>
      </c>
      <c r="B89" s="2125" t="s">
        <v>951</v>
      </c>
      <c r="C89" s="2105"/>
      <c r="D89" s="2192" t="s">
        <v>260</v>
      </c>
      <c r="E89" s="478"/>
      <c r="F89" s="2102">
        <f>IF(OR(AL117aRestZVWbedrag_AG&lt;=0,E$56=0),0,IF(AL117aRestZVWbedrag_AG-E$56&lt;=0,AL117aRestZVWbedrag_AG*BGZVWPremie,IF(E$56&gt;BGZVWJaarInkomen,BGZVWJaarInkomen,E$56)*BGZVWPremie))</f>
        <v>0</v>
      </c>
      <c r="G89" s="2106" t="s">
        <v>69</v>
      </c>
    </row>
    <row r="90" spans="1:7" ht="15.75" thickBot="1" x14ac:dyDescent="0.3">
      <c r="A90" s="536"/>
      <c r="B90" s="1369" t="s">
        <v>489</v>
      </c>
      <c r="C90" s="2084"/>
      <c r="D90" s="1380">
        <f ca="1">D76-D77-D88</f>
        <v>0</v>
      </c>
      <c r="E90" s="2084"/>
      <c r="F90" s="474">
        <f ca="1">F76-F77-F88-F89</f>
        <v>0</v>
      </c>
    </row>
    <row r="91" spans="1:7" ht="15.75" thickBot="1" x14ac:dyDescent="0.3">
      <c r="A91" s="564"/>
      <c r="C91" s="565"/>
      <c r="E91" s="565"/>
    </row>
    <row r="92" spans="1:7" ht="15.75" thickBot="1" x14ac:dyDescent="0.3">
      <c r="A92" s="1401" t="s">
        <v>240</v>
      </c>
      <c r="B92" s="1402" t="s">
        <v>507</v>
      </c>
      <c r="C92" s="3119" t="str">
        <f>BGPartner_AP</f>
        <v>Alimentatie Plichtig</v>
      </c>
      <c r="D92" s="3120"/>
      <c r="E92" s="3117" t="str">
        <f>BGPartner_AG</f>
        <v>Alimentatie Gerechtigd</v>
      </c>
      <c r="F92" s="3118"/>
    </row>
    <row r="93" spans="1:7" x14ac:dyDescent="0.25">
      <c r="A93" s="1370">
        <f>'Alimentatie 2024-02'!A288</f>
        <v>141</v>
      </c>
      <c r="B93" s="2107" t="str">
        <f>'Alimentatie 2024-02'!B290</f>
        <v>Eigen aandeel kosten kinderen</v>
      </c>
      <c r="C93" s="464">
        <f>'Alimentatie 2024-02'!D290*12</f>
        <v>0</v>
      </c>
      <c r="D93" s="2176" t="s">
        <v>74</v>
      </c>
      <c r="E93" s="513">
        <f>'Alimentatie 2024-02'!F290*12</f>
        <v>0</v>
      </c>
      <c r="F93" s="2176" t="s">
        <v>74</v>
      </c>
    </row>
    <row r="94" spans="1:7" x14ac:dyDescent="0.25">
      <c r="A94" s="447">
        <f>'Alimentatie 2024-02'!A288</f>
        <v>141</v>
      </c>
      <c r="B94" s="1403" t="str">
        <f>'Alimentatie 2024-02'!B289</f>
        <v>Verblijfskosten kinderen (Zorgkorting)</v>
      </c>
      <c r="C94" s="486">
        <f>'Alimentatie 2024-02'!D289*12</f>
        <v>0</v>
      </c>
      <c r="D94" s="2177" t="s">
        <v>74</v>
      </c>
      <c r="E94" s="514">
        <f>'Alimentatie 2024-02'!F289*12</f>
        <v>0</v>
      </c>
      <c r="F94" s="2177" t="s">
        <v>74</v>
      </c>
    </row>
    <row r="95" spans="1:7" x14ac:dyDescent="0.25">
      <c r="A95" s="2111">
        <f>'Alimentatie 2024-02'!A288</f>
        <v>141</v>
      </c>
      <c r="B95" s="2113" t="str">
        <f>'Alimentatie 2024-02'!B288</f>
        <v>Kinderalimentatie</v>
      </c>
      <c r="C95" s="1386">
        <f>'Alimentatie 2024-02'!D288*12</f>
        <v>0</v>
      </c>
      <c r="D95" s="2178" t="s">
        <v>74</v>
      </c>
      <c r="E95" s="1386">
        <f>'Alimentatie 2024-02'!F288*12</f>
        <v>0</v>
      </c>
      <c r="F95" s="2178" t="s">
        <v>74</v>
      </c>
    </row>
    <row r="96" spans="1:7" x14ac:dyDescent="0.25">
      <c r="A96" s="2111" t="str">
        <f>'Alimentatie 2024-02'!A278</f>
        <v>137a</v>
      </c>
      <c r="B96" s="2113" t="str">
        <f>'Alimentatie 2024-02'!B278</f>
        <v>Andere onderhoudsverplichtingen</v>
      </c>
      <c r="C96" s="1386">
        <f>'Alimentatie 2024-02'!D278*12</f>
        <v>0</v>
      </c>
      <c r="D96" s="2178" t="s">
        <v>74</v>
      </c>
      <c r="E96" s="1386">
        <f>'Alimentatie 2024-02'!F278*12</f>
        <v>0</v>
      </c>
      <c r="F96" s="2178" t="s">
        <v>74</v>
      </c>
    </row>
    <row r="97" spans="1:7" ht="15.75" thickBot="1" x14ac:dyDescent="0.3">
      <c r="A97" s="797" t="str">
        <f>'Alimentatie 2024-02'!A292</f>
        <v>141c</v>
      </c>
      <c r="B97" s="1379" t="str">
        <f>'Alimentatie 2024-02'!B292</f>
        <v>Andere onderhoudsverplichtingen</v>
      </c>
      <c r="C97" s="497">
        <f>'Alimentatie 2024-02'!D292*12</f>
        <v>0</v>
      </c>
      <c r="D97" s="2179" t="s">
        <v>74</v>
      </c>
      <c r="E97" s="516">
        <f>'Alimentatie 2024-02'!F292*12</f>
        <v>0</v>
      </c>
      <c r="F97" s="2179" t="s">
        <v>74</v>
      </c>
    </row>
    <row r="98" spans="1:7" ht="15.75" thickBot="1" x14ac:dyDescent="0.3">
      <c r="A98" s="2127"/>
      <c r="B98" s="2128"/>
      <c r="C98" s="2129">
        <f>SUM(C93:C97)</f>
        <v>0</v>
      </c>
      <c r="D98" s="2129"/>
      <c r="E98" s="2130">
        <f>SUM(E93:E97)</f>
        <v>0</v>
      </c>
      <c r="F98" s="2129"/>
    </row>
    <row r="99" spans="1:7" ht="15.75" thickBot="1" x14ac:dyDescent="0.3">
      <c r="A99" s="2126"/>
      <c r="B99" s="2131" t="s">
        <v>955</v>
      </c>
      <c r="C99" s="528">
        <f>IF(BGKGBbij119a="Ja",IF('Alimentatie 2024-02'!E222&gt;=C93,C93,C93-'Alimentatie 2024-02'!E222),0)</f>
        <v>0</v>
      </c>
      <c r="D99" s="2108" t="s">
        <v>69</v>
      </c>
      <c r="E99" s="2116">
        <f>IF(BGKGBbij119a="Ja",IF('Alimentatie 2024-02'!G222&gt;=E93,E93,E93-'Alimentatie 2024-02'!G222),0)</f>
        <v>0</v>
      </c>
      <c r="F99" s="2108" t="s">
        <v>69</v>
      </c>
      <c r="G99" s="2106" t="s">
        <v>69</v>
      </c>
    </row>
    <row r="100" spans="1:7" ht="15.75" thickBot="1" x14ac:dyDescent="0.3">
      <c r="A100" s="1354"/>
      <c r="B100" s="2109"/>
      <c r="C100" s="480">
        <f>C98-C99</f>
        <v>0</v>
      </c>
      <c r="D100" s="2076">
        <f>C100</f>
        <v>0</v>
      </c>
      <c r="E100" s="2117">
        <f>E98-E99</f>
        <v>0</v>
      </c>
      <c r="F100" s="480">
        <f>E100</f>
        <v>0</v>
      </c>
    </row>
    <row r="101" spans="1:7" x14ac:dyDescent="0.25">
      <c r="A101" s="2110">
        <f>'Alimentatie 2024-02'!A$279</f>
        <v>138</v>
      </c>
      <c r="B101" s="2112" t="str">
        <f>'Alimentatie 2024-02'!B$279</f>
        <v xml:space="preserve">Alimentatieverplichting (eerdere) ex-partner </v>
      </c>
      <c r="C101" s="2061"/>
      <c r="D101" s="477">
        <f>'Alimentatie 2024-02'!D330*12</f>
        <v>0</v>
      </c>
      <c r="E101" s="2061"/>
      <c r="F101" s="477">
        <f>'Alimentatie 2024-02'!F330*12</f>
        <v>0</v>
      </c>
    </row>
    <row r="102" spans="1:7" x14ac:dyDescent="0.25">
      <c r="A102" s="2111">
        <f>'Alimentatie 2024-02'!A$282</f>
        <v>138</v>
      </c>
      <c r="B102" s="2113" t="str">
        <f>'Alimentatie 2024-02'!B$282</f>
        <v>OEW: Hypotheekrente betaald voor ex. partner als partneralimentatie</v>
      </c>
      <c r="C102" s="2060"/>
      <c r="D102" s="1405">
        <f>IF(BGOEWRekenModule="Nee",0,BGOEW138RentePA_AP)</f>
        <v>0</v>
      </c>
      <c r="E102" s="2060"/>
      <c r="F102" s="1405">
        <f>IF(BGOEWRekenModule="Nee",0,BGOEW138RentePA_AG)</f>
        <v>0</v>
      </c>
    </row>
    <row r="103" spans="1:7" x14ac:dyDescent="0.25">
      <c r="A103" s="2111">
        <v>138</v>
      </c>
      <c r="B103" s="2113" t="str">
        <f>'Alimentatie 2024-02'!B$283</f>
        <v>OEW: Hypotheekaflossing betaald voor ex-partner als partneralimentatie</v>
      </c>
      <c r="C103" s="2060"/>
      <c r="D103" s="1405">
        <f>'Alimentatie 2024-02'!D283*12</f>
        <v>0</v>
      </c>
      <c r="E103" s="2060"/>
      <c r="F103" s="1405">
        <f>'Alimentatie 2024-02'!F283*12</f>
        <v>0</v>
      </c>
    </row>
    <row r="104" spans="1:7" ht="15.75" thickBot="1" x14ac:dyDescent="0.3">
      <c r="A104" s="2043"/>
      <c r="B104" s="1396" t="s">
        <v>966</v>
      </c>
      <c r="C104" s="2114"/>
      <c r="D104" s="577">
        <f>J31</f>
        <v>0</v>
      </c>
      <c r="E104" s="2114"/>
      <c r="F104" s="2089"/>
    </row>
    <row r="105" spans="1:7" ht="15.75" thickBot="1" x14ac:dyDescent="0.3">
      <c r="A105" s="536"/>
      <c r="B105" s="796" t="s">
        <v>954</v>
      </c>
      <c r="C105" s="474"/>
      <c r="D105" s="526">
        <f>SUM(D100:D104)</f>
        <v>0</v>
      </c>
      <c r="E105" s="2134"/>
      <c r="F105" s="526">
        <f>SUM(F100:F104)</f>
        <v>0</v>
      </c>
    </row>
    <row r="106" spans="1:7" ht="15.75" thickBot="1" x14ac:dyDescent="0.3">
      <c r="A106" s="2093"/>
      <c r="B106" s="2133"/>
      <c r="C106" s="2132"/>
      <c r="D106" s="2094"/>
      <c r="E106" s="2132"/>
      <c r="F106" s="2094"/>
    </row>
    <row r="107" spans="1:7" s="2135" customFormat="1" ht="18.75" x14ac:dyDescent="0.3">
      <c r="A107" s="2172"/>
      <c r="B107" s="2170"/>
      <c r="C107" s="2170" t="s">
        <v>957</v>
      </c>
      <c r="D107" s="2164">
        <f ca="1">D90-D105</f>
        <v>0</v>
      </c>
      <c r="E107" s="2165"/>
      <c r="F107" s="2166">
        <f ca="1">F90-F105</f>
        <v>0</v>
      </c>
    </row>
    <row r="108" spans="1:7" ht="19.5" thickBot="1" x14ac:dyDescent="0.35">
      <c r="A108" s="2173"/>
      <c r="B108" s="2171"/>
      <c r="C108" s="2171" t="s">
        <v>956</v>
      </c>
      <c r="D108" s="2167">
        <f ca="1">D107/12</f>
        <v>0</v>
      </c>
      <c r="E108" s="2168"/>
      <c r="F108" s="2169">
        <f ca="1">F107/12</f>
        <v>0</v>
      </c>
    </row>
  </sheetData>
  <sheetProtection algorithmName="SHA-512" hashValue="XWdhFHnMXXeSjvOCQBtzOadelkj6r1srlIiVo5fjzS7t5Y7UrmQknUB1OrO1HBI+dTwWFZNjXIIDPOIMJMST2g==" saltValue="1HJsa7mjlMRdNHW35Cs/ww==" spinCount="100000" sheet="1" objects="1" scenarios="1"/>
  <protectedRanges>
    <protectedRange sqref="J31" name="H12 Alimentatie"/>
  </protectedRanges>
  <mergeCells count="18">
    <mergeCell ref="I3:J3"/>
    <mergeCell ref="C27:D27"/>
    <mergeCell ref="E27:F27"/>
    <mergeCell ref="C43:D43"/>
    <mergeCell ref="E43:F43"/>
    <mergeCell ref="C3:D3"/>
    <mergeCell ref="E3:F3"/>
    <mergeCell ref="C7:D7"/>
    <mergeCell ref="E7:F7"/>
    <mergeCell ref="H9:K12"/>
    <mergeCell ref="H24:J24"/>
    <mergeCell ref="L19:M31"/>
    <mergeCell ref="E92:F92"/>
    <mergeCell ref="C75:D75"/>
    <mergeCell ref="E75:F75"/>
    <mergeCell ref="C65:D65"/>
    <mergeCell ref="E65:F65"/>
    <mergeCell ref="C92:D92"/>
  </mergeCells>
  <conditionalFormatting sqref="D24">
    <cfRule type="expression" dxfId="10" priority="6">
      <formula>ROUND($D$24,0)&lt;&gt;ROUND($F$24,0)</formula>
    </cfRule>
  </conditionalFormatting>
  <conditionalFormatting sqref="F24:G24">
    <cfRule type="expression" dxfId="9" priority="3">
      <formula>ROUND($D$24,0)&lt;&gt;ROUND($F$24,0)</formula>
    </cfRule>
  </conditionalFormatting>
  <conditionalFormatting sqref="G24">
    <cfRule type="expression" dxfId="8" priority="2">
      <formula>ROUND($D$24,0)=ROUND($F$24,0)</formula>
    </cfRule>
  </conditionalFormatting>
  <conditionalFormatting sqref="H24">
    <cfRule type="cellIs" dxfId="7" priority="1" operator="equal">
      <formula>"LET OP: Het Correctiebedrag in Jusvergelijking (cel J30) klopt niet !!!"</formula>
    </cfRule>
    <cfRule type="cellIs" dxfId="6" priority="4" operator="equal">
      <formula>"Jusvergelijking is Oke!"</formula>
    </cfRule>
  </conditionalFormatting>
  <conditionalFormatting sqref="K33">
    <cfRule type="cellIs" dxfId="5" priority="10" operator="notBetween">
      <formula>-0.5</formula>
      <formula>0.5</formula>
    </cfRule>
  </conditionalFormatting>
  <pageMargins left="0.23622047244094491" right="0.23622047244094491" top="0.74803149606299213" bottom="0.74803149606299213" header="0.31496062992125984" footer="0.31496062992125984"/>
  <pageSetup paperSize="9" scale="78" orientation="portrait" blackAndWhite="1" horizontalDpi="4294967293"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203AB-5884-4821-8093-F760216A8028}">
  <sheetPr>
    <tabColor theme="7" tint="0.79998168889431442"/>
  </sheetPr>
  <dimension ref="A1:G46"/>
  <sheetViews>
    <sheetView showGridLines="0" zoomScale="80" zoomScaleNormal="80" workbookViewId="0">
      <pane xSplit="7" ySplit="3" topLeftCell="H7" activePane="bottomRight" state="frozen"/>
      <selection pane="topRight" activeCell="H1" sqref="H1"/>
      <selection pane="bottomLeft" activeCell="A4" sqref="A4"/>
      <selection pane="bottomRight"/>
    </sheetView>
  </sheetViews>
  <sheetFormatPr defaultColWidth="9.140625" defaultRowHeight="15" outlineLevelRow="1" x14ac:dyDescent="0.25"/>
  <cols>
    <col min="1" max="1" width="9.5703125" style="3" bestFit="1" customWidth="1"/>
    <col min="2" max="2" width="82.7109375" style="52" customWidth="1"/>
    <col min="3" max="3" width="3.85546875" style="3" bestFit="1" customWidth="1"/>
    <col min="4" max="5" width="22.7109375" style="148" customWidth="1"/>
    <col min="6" max="6" width="80.7109375" style="91" customWidth="1"/>
    <col min="7" max="7" width="9.140625" style="18"/>
    <col min="8" max="16384" width="9.140625" style="1"/>
  </cols>
  <sheetData>
    <row r="1" spans="1:7" ht="21.75" thickBot="1" x14ac:dyDescent="0.3">
      <c r="A1" s="1901"/>
      <c r="B1" s="2252" t="s">
        <v>866</v>
      </c>
      <c r="C1" s="1903"/>
      <c r="D1" s="890"/>
      <c r="E1" s="890"/>
      <c r="F1" s="2253"/>
      <c r="G1" s="2248">
        <v>1</v>
      </c>
    </row>
    <row r="2" spans="1:7" s="2244" customFormat="1" ht="15.75" customHeight="1" thickBot="1" x14ac:dyDescent="0.3">
      <c r="A2" s="2249"/>
      <c r="B2" s="2250"/>
      <c r="C2" s="2018"/>
      <c r="D2" s="1310"/>
      <c r="E2" s="1310"/>
      <c r="F2" s="2251"/>
      <c r="G2" s="2243">
        <v>2</v>
      </c>
    </row>
    <row r="3" spans="1:7" s="2244" customFormat="1" ht="15.75" customHeight="1" thickBot="1" x14ac:dyDescent="0.3">
      <c r="A3" s="1999" t="s">
        <v>791</v>
      </c>
      <c r="B3" s="381" t="s">
        <v>222</v>
      </c>
      <c r="C3" s="907" t="s">
        <v>207</v>
      </c>
      <c r="D3" s="905" t="str">
        <f>BGPartner_AP</f>
        <v>Alimentatie Plichtig</v>
      </c>
      <c r="E3" s="905" t="str">
        <f>BGPartner_AG</f>
        <v>Alimentatie Gerechtigd</v>
      </c>
      <c r="F3" s="1719" t="s">
        <v>206</v>
      </c>
      <c r="G3" s="2247" t="s">
        <v>790</v>
      </c>
    </row>
    <row r="4" spans="1:7" s="2244" customFormat="1" ht="15.75" customHeight="1" thickBot="1" x14ac:dyDescent="0.3">
      <c r="A4" s="2249"/>
      <c r="B4" s="2250"/>
      <c r="C4" s="2018"/>
      <c r="D4" s="1310"/>
      <c r="E4" s="1310"/>
      <c r="F4" s="2251"/>
      <c r="G4" s="2243">
        <v>4</v>
      </c>
    </row>
    <row r="5" spans="1:7" ht="19.5" outlineLevel="1" thickBot="1" x14ac:dyDescent="0.3">
      <c r="A5" s="1872">
        <v>123</v>
      </c>
      <c r="B5" s="1862" t="s">
        <v>41</v>
      </c>
      <c r="C5" s="1873"/>
      <c r="D5" s="1874"/>
      <c r="E5" s="1874"/>
      <c r="F5" s="2017"/>
      <c r="G5" s="2191">
        <v>5</v>
      </c>
    </row>
    <row r="6" spans="1:7" ht="45" outlineLevel="1" x14ac:dyDescent="0.25">
      <c r="A6" s="1427"/>
      <c r="B6" s="2016" t="s">
        <v>891</v>
      </c>
      <c r="C6" s="193" t="s">
        <v>74</v>
      </c>
      <c r="D6" s="881">
        <f>Basisgegevens!C240</f>
        <v>0</v>
      </c>
      <c r="E6" s="881">
        <f>Basisgegevens!D240</f>
        <v>0</v>
      </c>
      <c r="F6" s="1781" t="s">
        <v>229</v>
      </c>
      <c r="G6" s="67">
        <v>6</v>
      </c>
    </row>
    <row r="7" spans="1:7" outlineLevel="1" x14ac:dyDescent="0.25">
      <c r="A7" s="1428" t="s">
        <v>876</v>
      </c>
      <c r="B7" s="100" t="s">
        <v>904</v>
      </c>
      <c r="C7" s="191" t="s">
        <v>74</v>
      </c>
      <c r="D7" s="303">
        <f>IF(AND(BGOEWRekenModule="Ja",Basisgegevens!$E$193=BGPartner_AG),BGOEWWoonvergoeding,0)</f>
        <v>0</v>
      </c>
      <c r="E7" s="303">
        <f>IF(AND(BGOEWRekenModule="Ja",Basisgegevens!$E$193=BGPartner_AP),BGOEWWoonvergoeding,0)</f>
        <v>0</v>
      </c>
      <c r="F7" s="1756" t="s">
        <v>875</v>
      </c>
      <c r="G7" s="66">
        <v>7</v>
      </c>
    </row>
    <row r="8" spans="1:7" ht="15.75" outlineLevel="1" thickBot="1" x14ac:dyDescent="0.3">
      <c r="A8" s="1431"/>
      <c r="B8" s="1300" t="str">
        <f>IF(BGOEWRekenModule="Ja","- OEW: ","- ")&amp;"Hyptheekaflossing / premie levensverzekering"</f>
        <v>- Hyptheekaflossing / premie levensverzekering</v>
      </c>
      <c r="C8" s="199" t="s">
        <v>74</v>
      </c>
      <c r="D8" s="883">
        <f>IF(BGOEWRekenModule="Nee",Basisgegevens!E173+Basisgegevens!F186,IF(AND(BGOEWRekenModule="Ja",BGOEWAflossing=BGPartner_AP),Basisgegevens!C173/2+Basisgegevens!E186,IF(AND(BGOEWRekenModule="Ja",BGOEWAflossing=Keuzelijsten!$R$4),Basisgegevens!F186,0)))</f>
        <v>0</v>
      </c>
      <c r="E8" s="883">
        <f>IF(BGOEWRekenModule="Nee",Basisgegevens!F173+Basisgegevens!E186,IF(AND(BGOEWRekenModule="Ja",BGOEWAflossing=BGPartner_AG),Basisgegevens!C173/2+Basisgegevens!E186,IF(AND(BGOEWRekenModule="Ja",BGOEWAflossing=Keuzelijsten!$R$4),Basisgegevens!E186,0)))</f>
        <v>0</v>
      </c>
      <c r="F8" s="1765" t="s">
        <v>975</v>
      </c>
      <c r="G8" s="166">
        <v>8</v>
      </c>
    </row>
    <row r="9" spans="1:7" outlineLevel="1" x14ac:dyDescent="0.25">
      <c r="A9" s="1526"/>
      <c r="B9" s="1294" t="s">
        <v>892</v>
      </c>
      <c r="C9" s="1295" t="s">
        <v>74</v>
      </c>
      <c r="D9" s="302">
        <f>IF(BG083HypRenteWoning1="Zie OEW",BG083HypRenteWoning2,BG083HypRenteWoning1+BG083HypRenteWoning2)</f>
        <v>0</v>
      </c>
      <c r="E9" s="302">
        <f>IF(BG083HypRente_W1_AG="Zie OEW",BG083HypotheekrenteW2_AG,BG083HypRente_W1_AG+BG083HypotheekrenteW2_AG)</f>
        <v>0</v>
      </c>
      <c r="F9" s="1782" t="s">
        <v>869</v>
      </c>
      <c r="G9" s="28">
        <v>9</v>
      </c>
    </row>
    <row r="10" spans="1:7" outlineLevel="1" x14ac:dyDescent="0.25">
      <c r="A10" s="81" t="str">
        <f>Basisgegevens!L188</f>
        <v>83a</v>
      </c>
      <c r="B10" s="1703" t="str">
        <f>"- OEW: "&amp;Basisgegevens!M188&amp;" (= het eigen 50% aandeel)"</f>
        <v>- OEW: Rente Onverdeeld Eigen Woning Eigen aandeel (= het eigen 50% aandeel)</v>
      </c>
      <c r="C10" s="1296" t="s">
        <v>74</v>
      </c>
      <c r="D10" s="303">
        <f>IF(BGOEWRekenModule="Ja",IF(Basisgegevens!P179="Blijver",BGOEW83aRente_AP/12,0),0)</f>
        <v>0</v>
      </c>
      <c r="E10" s="303">
        <f>IF(BGOEWRekenModule="Ja",IF(Basisgegevens!Q179="Blijver",BGOEW83aRente_AG/12,0),0)</f>
        <v>0</v>
      </c>
      <c r="F10" s="1756" t="s">
        <v>868</v>
      </c>
      <c r="G10" s="66">
        <v>10</v>
      </c>
    </row>
    <row r="11" spans="1:7" ht="15.75" outlineLevel="1" thickBot="1" x14ac:dyDescent="0.3">
      <c r="A11" s="150">
        <f>Basisgegevens!L191</f>
        <v>123</v>
      </c>
      <c r="B11" s="2264" t="str">
        <f>"- OEW: "&amp;Basisgegevens!M191&amp;" (= het 50% aandeel van de blijver)"</f>
        <v>- OEW: Rente Onverdeeld Eigen Woning (= het 50% aandeel van de blijver)</v>
      </c>
      <c r="C11" s="2227" t="s">
        <v>74</v>
      </c>
      <c r="D11" s="883">
        <f>IF(BGOEWRekenModule="Ja",BGOEW123Rente_AP/12,0)</f>
        <v>0</v>
      </c>
      <c r="E11" s="883">
        <f>IF(BGOEWRekenModule="Ja",BGOEW123Rente_AG/12,0)</f>
        <v>0</v>
      </c>
      <c r="F11" s="1765" t="s">
        <v>868</v>
      </c>
      <c r="G11" s="166">
        <v>11</v>
      </c>
    </row>
    <row r="12" spans="1:7" ht="31.5" customHeight="1" outlineLevel="1" thickBot="1" x14ac:dyDescent="0.3">
      <c r="A12" s="2426"/>
      <c r="B12" s="2427" t="s">
        <v>987</v>
      </c>
      <c r="C12" s="1334"/>
      <c r="D12" s="1684" t="s">
        <v>107</v>
      </c>
      <c r="E12" s="1684" t="s">
        <v>107</v>
      </c>
      <c r="F12" s="2414" t="s">
        <v>988</v>
      </c>
      <c r="G12" s="1196">
        <v>12</v>
      </c>
    </row>
    <row r="13" spans="1:7" outlineLevel="1" x14ac:dyDescent="0.25">
      <c r="A13" s="1526">
        <v>84</v>
      </c>
      <c r="B13" s="1294" t="str">
        <f>IF(BGOEWRekenModule="Ja","- OEW: ","- ")&amp;"Periodieke betalingen van erfpacht e.d."</f>
        <v>- Periodieke betalingen van erfpacht e.d.</v>
      </c>
      <c r="C13" s="1295" t="s">
        <v>74</v>
      </c>
      <c r="D13" s="891">
        <f>IF(BGOEWRekenModule="Nee",Basisgegevens!E177+Basisgegevens!F190,IF(AND(BGOEWRekenModule="Ja",BGOEWErfpacht=BGPartner_AP),Basisgegevens!C177++Basisgegevens!F190,IF(AND(BGOEWRekenModule="Ja",BGOEWErfpacht=Keuzelijsten!$R$4),(Basisgegevens!C177/2)+Basisgegevens!F190,0)))</f>
        <v>0</v>
      </c>
      <c r="E13" s="2437">
        <f>IF(BGOEWRekenModule="Nee",Basisgegevens!F177+Basisgegevens!E190,IF(AND(BGOEWRekenModule="Ja",BGOEWErfpacht=BGPartner_AG),Basisgegevens!C177+Basisgegevens!E190,IF(AND(BGOEWRekenModule="Ja",BGOEWErfpacht=Keuzelijsten!$R$4),(Basisgegevens!C177/2)+Basisgegevens!E190,0)))</f>
        <v>0</v>
      </c>
      <c r="F13" s="2440" t="s">
        <v>1066</v>
      </c>
      <c r="G13" s="28">
        <v>13</v>
      </c>
    </row>
    <row r="14" spans="1:7" outlineLevel="1" x14ac:dyDescent="0.25">
      <c r="A14" s="81"/>
      <c r="B14" s="100" t="s">
        <v>1049</v>
      </c>
      <c r="C14" s="1296" t="s">
        <v>74</v>
      </c>
      <c r="D14" s="2441">
        <v>0</v>
      </c>
      <c r="E14" s="2438">
        <v>0</v>
      </c>
      <c r="F14" s="1723" t="s">
        <v>1066</v>
      </c>
      <c r="G14" s="66">
        <v>14</v>
      </c>
    </row>
    <row r="15" spans="1:7" outlineLevel="1" x14ac:dyDescent="0.25">
      <c r="A15" s="81"/>
      <c r="B15" s="100" t="s">
        <v>1051</v>
      </c>
      <c r="C15" s="1296" t="s">
        <v>74</v>
      </c>
      <c r="D15" s="2441">
        <v>0</v>
      </c>
      <c r="E15" s="2438">
        <v>0</v>
      </c>
      <c r="F15" s="1723" t="s">
        <v>1050</v>
      </c>
      <c r="G15" s="66">
        <v>15</v>
      </c>
    </row>
    <row r="16" spans="1:7" outlineLevel="1" x14ac:dyDescent="0.25">
      <c r="A16" s="81"/>
      <c r="B16" s="100" t="s">
        <v>1061</v>
      </c>
      <c r="C16" s="1296" t="s">
        <v>74</v>
      </c>
      <c r="D16" s="2441">
        <v>0</v>
      </c>
      <c r="E16" s="2438">
        <v>0</v>
      </c>
      <c r="F16" s="1723" t="s">
        <v>1050</v>
      </c>
      <c r="G16" s="66">
        <v>16</v>
      </c>
    </row>
    <row r="17" spans="1:7" outlineLevel="1" x14ac:dyDescent="0.25">
      <c r="A17" s="150"/>
      <c r="B17" s="1300" t="s">
        <v>1052</v>
      </c>
      <c r="C17" s="1296" t="s">
        <v>74</v>
      </c>
      <c r="D17" s="2441">
        <v>0</v>
      </c>
      <c r="E17" s="2438">
        <v>0</v>
      </c>
      <c r="F17" s="1723" t="s">
        <v>1062</v>
      </c>
      <c r="G17" s="166">
        <v>17</v>
      </c>
    </row>
    <row r="18" spans="1:7" ht="15.75" outlineLevel="1" thickBot="1" x14ac:dyDescent="0.3">
      <c r="A18" s="82"/>
      <c r="B18" s="996" t="s">
        <v>1063</v>
      </c>
      <c r="C18" s="1359" t="s">
        <v>74</v>
      </c>
      <c r="D18" s="338">
        <v>0</v>
      </c>
      <c r="E18" s="2439">
        <v>0</v>
      </c>
      <c r="F18" s="1726" t="s">
        <v>1064</v>
      </c>
      <c r="G18" s="30">
        <v>18</v>
      </c>
    </row>
    <row r="19" spans="1:7" outlineLevel="1" x14ac:dyDescent="0.25">
      <c r="A19" s="1427" t="s">
        <v>898</v>
      </c>
      <c r="B19" s="1235" t="s">
        <v>56</v>
      </c>
      <c r="C19" s="193" t="s">
        <v>69</v>
      </c>
      <c r="D19" s="881">
        <f>Basisgegevens!C242</f>
        <v>0</v>
      </c>
      <c r="E19" s="881">
        <f>Basisgegevens!D242</f>
        <v>0</v>
      </c>
      <c r="F19" s="1781" t="s">
        <v>230</v>
      </c>
      <c r="G19" s="67">
        <v>19</v>
      </c>
    </row>
    <row r="20" spans="1:7" ht="15.75" outlineLevel="1" thickBot="1" x14ac:dyDescent="0.3">
      <c r="A20" s="1431" t="s">
        <v>898</v>
      </c>
      <c r="B20" s="1300" t="s">
        <v>979</v>
      </c>
      <c r="C20" s="199" t="s">
        <v>69</v>
      </c>
      <c r="D20" s="883">
        <f>IF(D12="Ja",0,'Alimentatie 2024-02'!D139+IF(BGOEWRekenModule="Ja",D11*BGBelastingTariefSchijf1,0))</f>
        <v>0</v>
      </c>
      <c r="E20" s="883">
        <f>IF(E12="Ja",0,'Alimentatie 2024-02'!F139+IF(BGOEWRekenModule="Ja",E11*BGBelastingTariefSchijf1,0))</f>
        <v>0</v>
      </c>
      <c r="F20" s="1765" t="s">
        <v>1044</v>
      </c>
      <c r="G20" s="166">
        <v>20</v>
      </c>
    </row>
    <row r="21" spans="1:7" ht="15.75" outlineLevel="1" thickBot="1" x14ac:dyDescent="0.3">
      <c r="A21" s="2012"/>
      <c r="B21" s="2013" t="s">
        <v>897</v>
      </c>
      <c r="C21" s="1779"/>
      <c r="D21" s="1664">
        <f>SUM(D6:D18)-SUM(D19:D20)</f>
        <v>0</v>
      </c>
      <c r="E21" s="1664">
        <f>SUM(E6:E18)-SUM(E19:E20)</f>
        <v>0</v>
      </c>
      <c r="F21" s="2014"/>
      <c r="G21" s="2021">
        <v>21</v>
      </c>
    </row>
    <row r="22" spans="1:7" ht="15.75" outlineLevel="1" thickBot="1" x14ac:dyDescent="0.3">
      <c r="A22" s="1825"/>
      <c r="B22" s="2396"/>
      <c r="C22" s="1843"/>
      <c r="D22" s="1900"/>
      <c r="E22" s="1900"/>
      <c r="F22" s="2397"/>
      <c r="G22" s="2206">
        <v>22</v>
      </c>
    </row>
    <row r="23" spans="1:7" ht="30.75" outlineLevel="1" thickBot="1" x14ac:dyDescent="0.3">
      <c r="A23" s="1507" t="s">
        <v>898</v>
      </c>
      <c r="B23" s="2265" t="s">
        <v>913</v>
      </c>
      <c r="C23" s="1926" t="s">
        <v>69</v>
      </c>
      <c r="D23" s="2435">
        <v>0</v>
      </c>
      <c r="E23" s="915">
        <v>0</v>
      </c>
      <c r="F23" s="2436" t="s">
        <v>815</v>
      </c>
      <c r="G23" s="161">
        <v>23</v>
      </c>
    </row>
    <row r="24" spans="1:7" ht="15.75" thickBot="1" x14ac:dyDescent="0.3">
      <c r="A24" s="2307">
        <v>123</v>
      </c>
      <c r="B24" s="2401" t="s">
        <v>58</v>
      </c>
      <c r="C24" s="2212"/>
      <c r="D24" s="1244">
        <f>D21-D23</f>
        <v>0</v>
      </c>
      <c r="E24" s="880">
        <f>E21-E23</f>
        <v>0</v>
      </c>
      <c r="F24" s="2025"/>
      <c r="G24" s="584">
        <v>24</v>
      </c>
    </row>
    <row r="25" spans="1:7" ht="15.75" outlineLevel="1" thickBot="1" x14ac:dyDescent="0.3">
      <c r="B25" s="328"/>
      <c r="C25" s="2018"/>
      <c r="G25" s="67">
        <v>25</v>
      </c>
    </row>
    <row r="26" spans="1:7" ht="15.75" outlineLevel="1" thickBot="1" x14ac:dyDescent="0.3">
      <c r="B26" s="2019" t="s">
        <v>395</v>
      </c>
      <c r="D26" s="2015" t="str">
        <f>BGPartner_AP</f>
        <v>Alimentatie Plichtig</v>
      </c>
      <c r="E26" s="2015" t="str">
        <f>BGPartner_AG</f>
        <v>Alimentatie Gerechtigd</v>
      </c>
      <c r="G26" s="30">
        <v>26</v>
      </c>
    </row>
    <row r="27" spans="1:7" outlineLevel="1" x14ac:dyDescent="0.25">
      <c r="A27" s="1526"/>
      <c r="B27" s="1666" t="s">
        <v>394</v>
      </c>
      <c r="C27" s="203"/>
      <c r="D27" s="302">
        <f ca="1">'Alimentatie 2024-02'!E246</f>
        <v>0</v>
      </c>
      <c r="E27" s="302">
        <f ca="1">'Alimentatie 2024-02'!G246</f>
        <v>0</v>
      </c>
      <c r="F27" s="2020"/>
      <c r="G27" s="28">
        <v>27</v>
      </c>
    </row>
    <row r="28" spans="1:7" outlineLevel="1" x14ac:dyDescent="0.25">
      <c r="A28" s="81"/>
      <c r="B28" s="317" t="s">
        <v>392</v>
      </c>
      <c r="C28" s="200"/>
      <c r="D28" s="303">
        <f>IF(Basisgegevens!F201*Basisgegevens!O16&gt;0,(Basisgegevens!F201*Basisgegevens!O16)+D6-D19+SUM(D9:D15)+'Alimentatie 2024-02'!D139,D6-D19+SUM(D9:D15)+'Alimentatie 2024-02'!D139)</f>
        <v>0</v>
      </c>
      <c r="E28" s="303">
        <f>IF(Basisgegevens!E200&gt;0,(Basisgegevens!E200*Basisgegevens!O16)+(E6-E19)+SUM(E9:E15)+'Alimentatie 2024-02'!F139,(E6-E19)+SUM(E9:E15)+'Alimentatie 2024-02'!F139)</f>
        <v>0</v>
      </c>
      <c r="F28" s="375"/>
      <c r="G28" s="66">
        <v>28</v>
      </c>
    </row>
    <row r="29" spans="1:7" outlineLevel="1" x14ac:dyDescent="0.25">
      <c r="A29" s="81"/>
      <c r="B29" s="317" t="s">
        <v>393</v>
      </c>
      <c r="C29" s="200"/>
      <c r="D29" s="303">
        <f ca="1">D27/3</f>
        <v>0</v>
      </c>
      <c r="E29" s="303">
        <f ca="1">E27/3</f>
        <v>0</v>
      </c>
      <c r="F29" s="375"/>
      <c r="G29" s="66">
        <v>29</v>
      </c>
    </row>
    <row r="30" spans="1:7" ht="15.75" outlineLevel="1" thickBot="1" x14ac:dyDescent="0.3">
      <c r="A30" s="82"/>
      <c r="B30" s="1667" t="s">
        <v>396</v>
      </c>
      <c r="C30" s="1668"/>
      <c r="D30" s="305">
        <f ca="1">D29-D28</f>
        <v>0</v>
      </c>
      <c r="E30" s="305">
        <f ca="1">E29-E28</f>
        <v>0</v>
      </c>
      <c r="F30" s="378"/>
      <c r="G30" s="30">
        <v>30</v>
      </c>
    </row>
    <row r="31" spans="1:7" ht="30.75" outlineLevel="1" thickBot="1" x14ac:dyDescent="0.3">
      <c r="A31" s="2400"/>
      <c r="B31" s="1262" t="s">
        <v>397</v>
      </c>
      <c r="C31" s="401"/>
      <c r="D31" s="1665" t="str">
        <f ca="1">IF(D30&lt;0.01,CONCATENATE("Woonlast is € ",ROUND(D30*-1,0)," te hoog, Onredelijk?"),CONCATENATE("Woonlast is €",ROUND(D30,0)," onder max."))</f>
        <v>Woonlast is € 0 te hoog, Onredelijk?</v>
      </c>
      <c r="E31" s="1704" t="str">
        <f ca="1">IF(E30&lt;0.01,"Woonlast is € "&amp;ROUND(E30*-1,0)&amp;" te hoog, Onredelijk?","Woonlast is €"&amp;ROUND(E30,0)&amp;" onder max.")</f>
        <v>Woonlast is € 0 te hoog, Onredelijk?</v>
      </c>
      <c r="F31" s="1795" t="s">
        <v>899</v>
      </c>
      <c r="G31" s="2022">
        <v>31</v>
      </c>
    </row>
    <row r="32" spans="1:7" ht="15.75" thickBot="1" x14ac:dyDescent="0.3">
      <c r="B32" s="328"/>
      <c r="C32" s="1031"/>
      <c r="D32" s="2398" t="s">
        <v>732</v>
      </c>
      <c r="E32" s="2398"/>
      <c r="F32" s="2399"/>
      <c r="G32" s="2000">
        <v>32</v>
      </c>
    </row>
    <row r="33" spans="1:7" s="102" customFormat="1" ht="19.5" thickBot="1" x14ac:dyDescent="0.3">
      <c r="A33" s="2031"/>
      <c r="B33" s="2032" t="s">
        <v>936</v>
      </c>
      <c r="C33" s="2033"/>
      <c r="D33" s="2034"/>
      <c r="E33" s="2034"/>
      <c r="F33" s="2032"/>
      <c r="G33" s="2035">
        <v>33</v>
      </c>
    </row>
    <row r="34" spans="1:7" ht="30" outlineLevel="1" x14ac:dyDescent="0.25">
      <c r="A34" s="92">
        <v>125</v>
      </c>
      <c r="B34" s="86" t="s">
        <v>920</v>
      </c>
      <c r="C34" s="1660" t="s">
        <v>74</v>
      </c>
      <c r="D34" s="881">
        <v>0</v>
      </c>
      <c r="E34" s="881">
        <v>0</v>
      </c>
      <c r="F34" s="2029" t="s">
        <v>921</v>
      </c>
      <c r="G34" s="67">
        <v>34</v>
      </c>
    </row>
    <row r="35" spans="1:7" outlineLevel="1" x14ac:dyDescent="0.25">
      <c r="A35" s="81">
        <v>125</v>
      </c>
      <c r="B35" s="1712" t="s">
        <v>447</v>
      </c>
      <c r="C35" s="1296"/>
      <c r="D35" s="304">
        <v>0</v>
      </c>
      <c r="E35" s="304">
        <v>0</v>
      </c>
      <c r="F35" s="1178"/>
      <c r="G35" s="66">
        <v>35</v>
      </c>
    </row>
    <row r="36" spans="1:7" ht="30" outlineLevel="1" x14ac:dyDescent="0.25">
      <c r="A36" s="81">
        <v>126</v>
      </c>
      <c r="B36" s="1712" t="s">
        <v>43</v>
      </c>
      <c r="C36" s="1296" t="s">
        <v>74</v>
      </c>
      <c r="D36" s="304">
        <v>0</v>
      </c>
      <c r="E36" s="304">
        <v>0</v>
      </c>
      <c r="F36" s="1178" t="s">
        <v>231</v>
      </c>
      <c r="G36" s="66">
        <v>36</v>
      </c>
    </row>
    <row r="37" spans="1:7" outlineLevel="1" x14ac:dyDescent="0.25">
      <c r="A37" s="1785">
        <v>127</v>
      </c>
      <c r="B37" s="1793" t="s">
        <v>44</v>
      </c>
      <c r="C37" s="1296" t="s">
        <v>74</v>
      </c>
      <c r="D37" s="887">
        <v>0</v>
      </c>
      <c r="E37" s="887">
        <v>0</v>
      </c>
      <c r="F37" s="1231" t="s">
        <v>221</v>
      </c>
      <c r="G37" s="2023">
        <v>37</v>
      </c>
    </row>
    <row r="38" spans="1:7" outlineLevel="1" x14ac:dyDescent="0.25">
      <c r="A38" s="81">
        <v>128</v>
      </c>
      <c r="B38" s="1712" t="s">
        <v>45</v>
      </c>
      <c r="C38" s="1296" t="s">
        <v>74</v>
      </c>
      <c r="D38" s="304">
        <v>0</v>
      </c>
      <c r="E38" s="304">
        <v>0</v>
      </c>
      <c r="F38" s="1790" t="s">
        <v>235</v>
      </c>
      <c r="G38" s="66">
        <v>38</v>
      </c>
    </row>
    <row r="39" spans="1:7" ht="30" outlineLevel="1" x14ac:dyDescent="0.25">
      <c r="A39" s="81">
        <v>129</v>
      </c>
      <c r="B39" s="1712" t="s">
        <v>46</v>
      </c>
      <c r="C39" s="1296" t="s">
        <v>74</v>
      </c>
      <c r="D39" s="304">
        <v>0</v>
      </c>
      <c r="E39" s="304">
        <v>0</v>
      </c>
      <c r="F39" s="1178" t="s">
        <v>232</v>
      </c>
      <c r="G39" s="66">
        <v>39</v>
      </c>
    </row>
    <row r="40" spans="1:7" ht="30" outlineLevel="1" x14ac:dyDescent="0.25">
      <c r="A40" s="81">
        <v>130</v>
      </c>
      <c r="B40" s="1712" t="s">
        <v>47</v>
      </c>
      <c r="C40" s="1296" t="s">
        <v>74</v>
      </c>
      <c r="D40" s="304">
        <v>0</v>
      </c>
      <c r="E40" s="304">
        <v>0</v>
      </c>
      <c r="F40" s="1178" t="s">
        <v>974</v>
      </c>
      <c r="G40" s="66">
        <v>40</v>
      </c>
    </row>
    <row r="41" spans="1:7" ht="30" outlineLevel="1" x14ac:dyDescent="0.25">
      <c r="A41" s="1786">
        <v>131</v>
      </c>
      <c r="B41" s="1793" t="s">
        <v>870</v>
      </c>
      <c r="C41" s="1789" t="s">
        <v>74</v>
      </c>
      <c r="D41" s="1272">
        <v>0</v>
      </c>
      <c r="E41" s="1272">
        <v>0</v>
      </c>
      <c r="F41" s="1231" t="s">
        <v>658</v>
      </c>
      <c r="G41" s="2024">
        <v>41</v>
      </c>
    </row>
    <row r="42" spans="1:7" ht="45" outlineLevel="1" x14ac:dyDescent="0.25">
      <c r="A42" s="81">
        <v>132</v>
      </c>
      <c r="B42" s="1712" t="s">
        <v>48</v>
      </c>
      <c r="C42" s="1296" t="s">
        <v>74</v>
      </c>
      <c r="D42" s="304">
        <v>0</v>
      </c>
      <c r="E42" s="304">
        <v>0</v>
      </c>
      <c r="F42" s="1178" t="s">
        <v>233</v>
      </c>
      <c r="G42" s="66">
        <v>42</v>
      </c>
    </row>
    <row r="43" spans="1:7" ht="75.75" outlineLevel="1" thickBot="1" x14ac:dyDescent="0.3">
      <c r="A43" s="81">
        <v>133</v>
      </c>
      <c r="B43" s="1712" t="s">
        <v>49</v>
      </c>
      <c r="C43" s="1296" t="s">
        <v>74</v>
      </c>
      <c r="D43" s="304">
        <v>0</v>
      </c>
      <c r="E43" s="304">
        <v>0</v>
      </c>
      <c r="F43" s="1178" t="s">
        <v>234</v>
      </c>
      <c r="G43" s="66">
        <v>43</v>
      </c>
    </row>
    <row r="44" spans="1:7" ht="15.75" outlineLevel="1" thickBot="1" x14ac:dyDescent="0.3">
      <c r="A44" s="2036"/>
      <c r="B44" s="2026" t="s">
        <v>937</v>
      </c>
      <c r="C44" s="2027"/>
      <c r="D44" s="1788">
        <f>SUM(D34:D43)</f>
        <v>0</v>
      </c>
      <c r="E44" s="1788">
        <f>SUM(E34:E43)</f>
        <v>0</v>
      </c>
      <c r="F44" s="2028"/>
      <c r="G44" s="1778">
        <v>44</v>
      </c>
    </row>
    <row r="45" spans="1:7" ht="15.75" outlineLevel="1" thickBot="1" x14ac:dyDescent="0.3">
      <c r="A45" s="1887"/>
      <c r="B45" s="2040"/>
      <c r="C45" s="2041"/>
      <c r="D45" s="1889"/>
      <c r="E45" s="1889"/>
      <c r="F45" s="2042"/>
      <c r="G45" s="2000">
        <v>45</v>
      </c>
    </row>
    <row r="46" spans="1:7" ht="16.5" thickBot="1" x14ac:dyDescent="0.3">
      <c r="A46" s="1783"/>
      <c r="B46" s="2037" t="s">
        <v>914</v>
      </c>
      <c r="C46" s="2038" t="s">
        <v>69</v>
      </c>
      <c r="D46" s="1784">
        <f>D24+D44</f>
        <v>0</v>
      </c>
      <c r="E46" s="1784">
        <f>E24+E44</f>
        <v>0</v>
      </c>
      <c r="F46" s="2039"/>
      <c r="G46" s="584">
        <v>46</v>
      </c>
    </row>
  </sheetData>
  <sheetProtection algorithmName="SHA-512" hashValue="pXsbqn4LBZPOCjZHg1xk3reW2mV903XU3qO72711y6gf832hZe5j/5+67JbDMDzERNJLM6VQCyFuTrrCI391NA==" saltValue="MnvGhdu6ywNhti1F4Aahxw==" spinCount="100000" sheet="1" objects="1" scenarios="1"/>
  <protectedRanges>
    <protectedRange sqref="D23:E23" name="Regel_22_Onredelijke_Woonlast"/>
    <protectedRange sqref="D12:E12" name="Regel 12 Aflossingsvrije hypotheek"/>
    <protectedRange sqref="D14:E18" name="Regel_14_17_Woninglasten"/>
    <protectedRange sqref="D35:E36 D38:E40 D42:E43" name="Regel_45_tm_53"/>
  </protectedRanges>
  <conditionalFormatting sqref="C1:C2 C4:C31 C33:C46">
    <cfRule type="cellIs" dxfId="4" priority="32" operator="equal">
      <formula>"-"</formula>
    </cfRule>
    <cfRule type="cellIs" dxfId="3" priority="33" operator="equal">
      <formula>"+"</formula>
    </cfRule>
  </conditionalFormatting>
  <pageMargins left="0.7" right="0.7" top="0.75" bottom="0.75" header="0.3" footer="0.3"/>
  <pageSetup paperSize="9" orientation="portrait" horizontalDpi="4294967293"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C5F34A9-53D7-4E7E-B6D6-FE6A11A068A2}">
          <x14:formula1>
            <xm:f>Keuzelijsten!$G$2:$G$3</xm:f>
          </x14:formula1>
          <xm:sqref>D12:E12</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39997558519241921"/>
  </sheetPr>
  <dimension ref="A1:I33"/>
  <sheetViews>
    <sheetView showGridLines="0" zoomScale="80" zoomScaleNormal="80" workbookViewId="0">
      <pane xSplit="1" ySplit="3" topLeftCell="B4" activePane="bottomRight" state="frozen"/>
      <selection pane="topRight" activeCell="B1" sqref="B1"/>
      <selection pane="bottomLeft" activeCell="A4" sqref="A4"/>
      <selection pane="bottomRight"/>
    </sheetView>
  </sheetViews>
  <sheetFormatPr defaultRowHeight="15" x14ac:dyDescent="0.25"/>
  <cols>
    <col min="1" max="1" width="16.7109375" style="277" customWidth="1"/>
    <col min="2" max="2" width="105.7109375" customWidth="1"/>
    <col min="3" max="3" width="8.7109375" style="277" bestFit="1" customWidth="1"/>
    <col min="4" max="4" width="3.7109375" customWidth="1"/>
    <col min="5" max="5" width="16.7109375" style="277" customWidth="1"/>
    <col min="6" max="6" width="5.5703125" style="277" customWidth="1"/>
    <col min="7" max="7" width="70.7109375" customWidth="1"/>
    <col min="8" max="8" width="16.7109375" style="277" customWidth="1"/>
    <col min="9" max="9" width="42.85546875" customWidth="1"/>
  </cols>
  <sheetData>
    <row r="1" spans="1:9" ht="21.75" thickBot="1" x14ac:dyDescent="0.4">
      <c r="A1" s="283"/>
      <c r="B1" s="2234" t="s">
        <v>356</v>
      </c>
      <c r="C1" s="284"/>
      <c r="E1" s="285"/>
      <c r="F1" s="420"/>
      <c r="G1" s="420" t="s">
        <v>355</v>
      </c>
      <c r="H1" s="281"/>
      <c r="I1" s="282"/>
    </row>
    <row r="2" spans="1:9" ht="15.75" thickBot="1" x14ac:dyDescent="0.3">
      <c r="I2" s="663"/>
    </row>
    <row r="3" spans="1:9" ht="15.75" thickBot="1" x14ac:dyDescent="0.3">
      <c r="A3" s="278" t="s">
        <v>353</v>
      </c>
      <c r="B3" s="430" t="s">
        <v>71</v>
      </c>
      <c r="C3" s="419" t="s">
        <v>357</v>
      </c>
      <c r="E3" s="278" t="s">
        <v>353</v>
      </c>
      <c r="F3" s="421" t="s">
        <v>432</v>
      </c>
      <c r="G3" s="243" t="s">
        <v>71</v>
      </c>
      <c r="H3" s="278" t="s">
        <v>354</v>
      </c>
      <c r="I3" s="245" t="s">
        <v>208</v>
      </c>
    </row>
    <row r="4" spans="1:9" x14ac:dyDescent="0.25">
      <c r="A4" s="418">
        <v>45509</v>
      </c>
      <c r="B4" s="431" t="s">
        <v>1130</v>
      </c>
      <c r="C4" s="434" t="s">
        <v>611</v>
      </c>
      <c r="E4" s="279"/>
      <c r="F4" s="422"/>
      <c r="G4" s="573"/>
      <c r="H4" s="572"/>
      <c r="I4" s="574"/>
    </row>
    <row r="5" spans="1:9" x14ac:dyDescent="0.25">
      <c r="A5" s="279">
        <v>45649</v>
      </c>
      <c r="B5" s="432" t="s">
        <v>1132</v>
      </c>
      <c r="C5" s="435" t="s">
        <v>1131</v>
      </c>
      <c r="E5" s="279"/>
      <c r="F5" s="422"/>
      <c r="G5" s="573"/>
      <c r="H5" s="572"/>
      <c r="I5" s="574"/>
    </row>
    <row r="6" spans="1:9" x14ac:dyDescent="0.25">
      <c r="A6" s="279">
        <v>45659</v>
      </c>
      <c r="B6" s="432" t="s">
        <v>1133</v>
      </c>
      <c r="C6" s="435" t="s">
        <v>1134</v>
      </c>
      <c r="E6" s="279"/>
      <c r="F6" s="422"/>
      <c r="G6" s="573"/>
      <c r="H6" s="572"/>
      <c r="I6" s="429"/>
    </row>
    <row r="7" spans="1:9" x14ac:dyDescent="0.25">
      <c r="A7" s="279"/>
      <c r="B7" s="432"/>
      <c r="C7" s="435"/>
      <c r="E7" s="279"/>
      <c r="F7" s="422"/>
      <c r="G7" s="573"/>
      <c r="H7" s="572"/>
      <c r="I7" s="574"/>
    </row>
    <row r="8" spans="1:9" x14ac:dyDescent="0.25">
      <c r="A8" s="279"/>
      <c r="B8" s="432"/>
      <c r="C8" s="435"/>
      <c r="E8" s="279"/>
      <c r="F8" s="422"/>
      <c r="G8" s="275"/>
      <c r="H8" s="279"/>
      <c r="I8" s="429"/>
    </row>
    <row r="9" spans="1:9" x14ac:dyDescent="0.25">
      <c r="A9" s="279"/>
      <c r="B9" s="432"/>
      <c r="C9" s="435"/>
      <c r="E9" s="279"/>
      <c r="F9" s="422"/>
      <c r="G9" s="573"/>
      <c r="H9" s="572"/>
      <c r="I9" s="574"/>
    </row>
    <row r="10" spans="1:9" x14ac:dyDescent="0.25">
      <c r="A10" s="279"/>
      <c r="B10" s="432"/>
      <c r="C10" s="435"/>
      <c r="E10" s="279"/>
      <c r="F10" s="422"/>
      <c r="G10" s="573"/>
      <c r="H10" s="572"/>
      <c r="I10" s="574"/>
    </row>
    <row r="11" spans="1:9" x14ac:dyDescent="0.25">
      <c r="A11" s="279"/>
      <c r="B11" s="432"/>
      <c r="C11" s="435"/>
      <c r="E11" s="279"/>
      <c r="F11" s="422"/>
      <c r="G11" s="275"/>
      <c r="H11" s="279"/>
      <c r="I11" s="429"/>
    </row>
    <row r="12" spans="1:9" x14ac:dyDescent="0.25">
      <c r="A12" s="279"/>
      <c r="B12" s="432"/>
      <c r="C12" s="435"/>
      <c r="E12" s="279"/>
      <c r="F12" s="422"/>
      <c r="G12" s="275"/>
      <c r="H12" s="279"/>
      <c r="I12" s="429"/>
    </row>
    <row r="13" spans="1:9" x14ac:dyDescent="0.25">
      <c r="A13" s="279"/>
      <c r="B13" s="432"/>
      <c r="C13" s="435"/>
      <c r="E13" s="279"/>
      <c r="F13" s="422"/>
      <c r="G13" s="275"/>
      <c r="H13" s="279"/>
      <c r="I13" s="429"/>
    </row>
    <row r="14" spans="1:9" x14ac:dyDescent="0.25">
      <c r="A14" s="279"/>
      <c r="B14" s="432"/>
      <c r="C14" s="435"/>
      <c r="E14" s="279"/>
      <c r="F14" s="422"/>
      <c r="G14" s="275"/>
      <c r="H14" s="279"/>
      <c r="I14" s="429"/>
    </row>
    <row r="15" spans="1:9" x14ac:dyDescent="0.25">
      <c r="A15" s="279"/>
      <c r="B15" s="432"/>
      <c r="C15" s="435"/>
      <c r="E15" s="279"/>
      <c r="F15" s="422"/>
      <c r="G15" s="275"/>
      <c r="H15" s="279"/>
      <c r="I15" s="429"/>
    </row>
    <row r="16" spans="1:9" x14ac:dyDescent="0.25">
      <c r="A16" s="279"/>
      <c r="B16" s="432"/>
      <c r="C16" s="435"/>
      <c r="E16" s="279"/>
      <c r="F16" s="422"/>
      <c r="G16" s="275"/>
      <c r="H16" s="279"/>
      <c r="I16" s="429"/>
    </row>
    <row r="17" spans="1:9" x14ac:dyDescent="0.25">
      <c r="A17" s="279"/>
      <c r="B17" s="432"/>
      <c r="C17" s="435"/>
      <c r="E17" s="279"/>
      <c r="F17" s="422"/>
      <c r="G17" s="275"/>
      <c r="H17" s="279"/>
      <c r="I17" s="429"/>
    </row>
    <row r="18" spans="1:9" x14ac:dyDescent="0.25">
      <c r="A18" s="279"/>
      <c r="B18" s="432"/>
      <c r="C18" s="435"/>
      <c r="E18" s="279"/>
      <c r="F18" s="422"/>
      <c r="G18" s="275"/>
      <c r="H18" s="279"/>
      <c r="I18" s="429"/>
    </row>
    <row r="19" spans="1:9" x14ac:dyDescent="0.25">
      <c r="A19" s="279"/>
      <c r="B19" s="432"/>
      <c r="C19" s="435"/>
      <c r="E19" s="279"/>
      <c r="F19" s="422"/>
      <c r="G19" s="275"/>
      <c r="H19" s="279"/>
      <c r="I19" s="429"/>
    </row>
    <row r="20" spans="1:9" x14ac:dyDescent="0.25">
      <c r="A20" s="279"/>
      <c r="B20" s="432"/>
      <c r="C20" s="435"/>
      <c r="E20" s="279"/>
      <c r="F20" s="422"/>
      <c r="G20" s="275"/>
      <c r="H20" s="279"/>
      <c r="I20" s="429"/>
    </row>
    <row r="21" spans="1:9" x14ac:dyDescent="0.25">
      <c r="A21" s="279"/>
      <c r="B21" s="432"/>
      <c r="C21" s="435"/>
      <c r="E21" s="279"/>
      <c r="F21" s="422"/>
      <c r="G21" s="275"/>
      <c r="H21" s="279"/>
      <c r="I21" s="429"/>
    </row>
    <row r="22" spans="1:9" x14ac:dyDescent="0.25">
      <c r="A22" s="279"/>
      <c r="B22" s="432"/>
      <c r="C22" s="435"/>
      <c r="E22" s="279"/>
      <c r="F22" s="422"/>
      <c r="G22" s="275"/>
      <c r="H22" s="279"/>
      <c r="I22" s="429"/>
    </row>
    <row r="23" spans="1:9" x14ac:dyDescent="0.25">
      <c r="A23" s="279"/>
      <c r="B23" s="432"/>
      <c r="C23" s="435"/>
      <c r="E23" s="279"/>
      <c r="F23" s="422"/>
      <c r="G23" s="275"/>
      <c r="H23" s="279"/>
      <c r="I23" s="429"/>
    </row>
    <row r="24" spans="1:9" x14ac:dyDescent="0.25">
      <c r="A24" s="279"/>
      <c r="B24" s="432"/>
      <c r="C24" s="435"/>
      <c r="E24" s="279"/>
      <c r="F24" s="422"/>
      <c r="G24" s="275"/>
      <c r="H24" s="279"/>
      <c r="I24" s="429"/>
    </row>
    <row r="25" spans="1:9" x14ac:dyDescent="0.25">
      <c r="A25" s="279"/>
      <c r="B25" s="432"/>
      <c r="C25" s="435"/>
      <c r="E25" s="279"/>
      <c r="F25" s="422"/>
      <c r="G25" s="275"/>
      <c r="H25" s="279"/>
      <c r="I25" s="429"/>
    </row>
    <row r="26" spans="1:9" x14ac:dyDescent="0.25">
      <c r="A26" s="279"/>
      <c r="B26" s="432"/>
      <c r="C26" s="435"/>
      <c r="E26" s="279"/>
      <c r="F26" s="422"/>
      <c r="G26" s="275"/>
      <c r="H26" s="279"/>
      <c r="I26" s="429"/>
    </row>
    <row r="27" spans="1:9" x14ac:dyDescent="0.25">
      <c r="A27" s="2388"/>
      <c r="B27" s="2389"/>
      <c r="C27" s="2390"/>
      <c r="E27" s="2388"/>
      <c r="F27" s="2391"/>
      <c r="G27" s="2392"/>
      <c r="H27" s="2388"/>
      <c r="I27" s="1639"/>
    </row>
    <row r="28" spans="1:9" x14ac:dyDescent="0.25">
      <c r="A28" s="2388"/>
      <c r="B28" s="2389"/>
      <c r="C28" s="2390"/>
      <c r="E28" s="2388"/>
      <c r="F28" s="2391"/>
      <c r="G28" s="2392"/>
      <c r="H28" s="2388"/>
      <c r="I28" s="1639"/>
    </row>
    <row r="29" spans="1:9" x14ac:dyDescent="0.25">
      <c r="A29" s="2388"/>
      <c r="B29" s="2389"/>
      <c r="C29" s="2390"/>
      <c r="E29" s="2388"/>
      <c r="F29" s="2391"/>
      <c r="G29" s="2392"/>
      <c r="H29" s="2388"/>
      <c r="I29" s="1639"/>
    </row>
    <row r="30" spans="1:9" x14ac:dyDescent="0.25">
      <c r="A30" s="2388"/>
      <c r="B30" s="2389"/>
      <c r="C30" s="2390"/>
      <c r="E30" s="2388"/>
      <c r="F30" s="2391"/>
      <c r="G30" s="2392"/>
      <c r="H30" s="2388"/>
      <c r="I30" s="1639"/>
    </row>
    <row r="31" spans="1:9" x14ac:dyDescent="0.25">
      <c r="A31" s="2388"/>
      <c r="B31" s="2389"/>
      <c r="C31" s="2390"/>
      <c r="E31" s="2388"/>
      <c r="F31" s="2391"/>
      <c r="G31" s="2392"/>
      <c r="H31" s="2388"/>
      <c r="I31" s="1639"/>
    </row>
    <row r="32" spans="1:9" x14ac:dyDescent="0.25">
      <c r="A32" s="2388"/>
      <c r="B32" s="2389"/>
      <c r="C32" s="2390"/>
      <c r="E32" s="2388"/>
      <c r="F32" s="2391"/>
      <c r="G32" s="2392"/>
      <c r="H32" s="2388"/>
      <c r="I32" s="1639"/>
    </row>
    <row r="33" spans="1:9" ht="15.75" thickBot="1" x14ac:dyDescent="0.3">
      <c r="A33" s="280"/>
      <c r="B33" s="433"/>
      <c r="C33" s="436"/>
      <c r="E33" s="280"/>
      <c r="F33" s="423"/>
      <c r="G33" s="276"/>
      <c r="H33" s="280"/>
      <c r="I33" s="452"/>
    </row>
  </sheetData>
  <sheetProtection algorithmName="SHA-512" hashValue="3cT03I1ultPAcNIygJikm33sMiemQKqBy9e1jS9iSp+s5X+X+md89C0xmf+nGLkuvLHVXEa9/E1IxCCuY7f5Jw==" saltValue="hjmx04MTQRBXJJlQzZrfXQ==" spinCount="100000" sheet="1" objects="1" scenarios="1"/>
  <sortState xmlns:xlrd2="http://schemas.microsoft.com/office/spreadsheetml/2017/richdata2" ref="E4:I11">
    <sortCondition ref="F4:F11"/>
    <sortCondition ref="H4:H11"/>
    <sortCondition ref="E4:E11"/>
  </sortState>
  <conditionalFormatting sqref="F4:F33">
    <cfRule type="cellIs" dxfId="2" priority="1" operator="equal">
      <formula>3</formula>
    </cfRule>
    <cfRule type="cellIs" dxfId="1" priority="2" operator="equal">
      <formula>2</formula>
    </cfRule>
    <cfRule type="cellIs" dxfId="0" priority="3" operator="equal">
      <formula>1</formula>
    </cfRule>
  </conditionalFormatting>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10</vt:i4>
      </vt:variant>
      <vt:variant>
        <vt:lpstr>Benoemde bereiken</vt:lpstr>
      </vt:variant>
      <vt:variant>
        <vt:i4>182</vt:i4>
      </vt:variant>
    </vt:vector>
  </HeadingPairs>
  <TitlesOfParts>
    <vt:vector size="192" baseType="lpstr">
      <vt:lpstr>Samenvatting</vt:lpstr>
      <vt:lpstr>Handleiding</vt:lpstr>
      <vt:lpstr>Alimentatie 2024-02</vt:lpstr>
      <vt:lpstr>Basisgegevens</vt:lpstr>
      <vt:lpstr>Kinderalimentatie</vt:lpstr>
      <vt:lpstr>Behoefteberekening</vt:lpstr>
      <vt:lpstr>Jusvergelijking</vt:lpstr>
      <vt:lpstr>Woonlasten_afwijkend</vt:lpstr>
      <vt:lpstr>Wijzigingen &amp; To Do's</vt:lpstr>
      <vt:lpstr>Keuzelijsten</vt:lpstr>
      <vt:lpstr>Behoefteberekening!Afdrukbereik</vt:lpstr>
      <vt:lpstr>Jusvergelijking!Afdrukbereik</vt:lpstr>
      <vt:lpstr>Samenvatting!Afdrukbereik</vt:lpstr>
      <vt:lpstr>AL100InkAanmBelang_AG</vt:lpstr>
      <vt:lpstr>AL100InkAanmBelang_AP</vt:lpstr>
      <vt:lpstr>AL103WerkVemInk_AG</vt:lpstr>
      <vt:lpstr>AL103WerkVemInk_AP</vt:lpstr>
      <vt:lpstr>AL108GrondslagSenB_AG</vt:lpstr>
      <vt:lpstr>AL108GrondslagSenB_AP</vt:lpstr>
      <vt:lpstr>AL111InkomenBox3_AG</vt:lpstr>
      <vt:lpstr>AL111InkomenBox3_AP</vt:lpstr>
      <vt:lpstr>AL117aRestZVWbedrag_AG</vt:lpstr>
      <vt:lpstr>AL117aRestZVWbedrag_AP</vt:lpstr>
      <vt:lpstr>AL121NBI_AG</vt:lpstr>
      <vt:lpstr>AL121NBI_AP</vt:lpstr>
      <vt:lpstr>AL121NBI_KA_AG</vt:lpstr>
      <vt:lpstr>AL121NBI_KA_AP</vt:lpstr>
      <vt:lpstr>AL41_50BrutoInkomen_AG</vt:lpstr>
      <vt:lpstr>AL41_50BrutoInkomen_AP</vt:lpstr>
      <vt:lpstr>AL41Arbeidsinkomen_AG</vt:lpstr>
      <vt:lpstr>AL41Arbeidsinkomen_AP</vt:lpstr>
      <vt:lpstr>AL41DGA_AG</vt:lpstr>
      <vt:lpstr>AL41DGA_AP</vt:lpstr>
      <vt:lpstr>AL42AOWUitkering_AG</vt:lpstr>
      <vt:lpstr>AL42AOWuitkering_AP</vt:lpstr>
      <vt:lpstr>AL43SocVerz_AG</vt:lpstr>
      <vt:lpstr>AL43SocVerz_AP</vt:lpstr>
      <vt:lpstr>AL45Bouwinkomen_AG</vt:lpstr>
      <vt:lpstr>AL45Bouwinkomen_AP</vt:lpstr>
      <vt:lpstr>AL50BrutoPensioen_AG</vt:lpstr>
      <vt:lpstr>AL50BrutoPensioen_AP</vt:lpstr>
      <vt:lpstr>AL51aPensioenSparen_AG</vt:lpstr>
      <vt:lpstr>AL51aPensioenSparen_AP</vt:lpstr>
      <vt:lpstr>AL51Pensioenpremie_AG</vt:lpstr>
      <vt:lpstr>AL51Pensioenpremie_AP</vt:lpstr>
      <vt:lpstr>AL52VUTFPUpremie_AG</vt:lpstr>
      <vt:lpstr>AL52VUTFPUpremie_AP</vt:lpstr>
      <vt:lpstr>AL53WAOWIAgat_AG</vt:lpstr>
      <vt:lpstr>AL53WAOWIAgat_AP</vt:lpstr>
      <vt:lpstr>AL54LoonvoorPremies_AG</vt:lpstr>
      <vt:lpstr>AL54LoonvoorPremies_AP</vt:lpstr>
      <vt:lpstr>AL55PremieWW_AG</vt:lpstr>
      <vt:lpstr>AL55PremieWW_AP</vt:lpstr>
      <vt:lpstr>AL56PremieAOV_AG</vt:lpstr>
      <vt:lpstr>AL56PremieAOV_AP</vt:lpstr>
      <vt:lpstr>AL58Ziektekosten_AG</vt:lpstr>
      <vt:lpstr>AL58Ziektekosten_AP</vt:lpstr>
      <vt:lpstr>AL59Arbeidsinkomen_AG</vt:lpstr>
      <vt:lpstr>AL59Arbeidsinkomen_AP</vt:lpstr>
      <vt:lpstr>AL60Arbeidsinkomen_AG</vt:lpstr>
      <vt:lpstr>AL60Arbeidsinkomen_AP</vt:lpstr>
      <vt:lpstr>AL64BelastbaarLoon_AG</vt:lpstr>
      <vt:lpstr>AL64BelastbaarLoon_AP</vt:lpstr>
      <vt:lpstr>AL70WinstOnderneming_AG</vt:lpstr>
      <vt:lpstr>AL70WinstOnderneming_AP</vt:lpstr>
      <vt:lpstr>AL75BelastbareWinst_AG</vt:lpstr>
      <vt:lpstr>AL75BelastbareWinst_AP</vt:lpstr>
      <vt:lpstr>AL78OverigeWerkz_AG</vt:lpstr>
      <vt:lpstr>AL78OverigeWerkz_AP</vt:lpstr>
      <vt:lpstr>AL79aVEWRentePA_AG</vt:lpstr>
      <vt:lpstr>AL79aVEWRentePA_AP</vt:lpstr>
      <vt:lpstr>AL81OEWFictiefInk_AG</vt:lpstr>
      <vt:lpstr>AL81OEWFictiefInk_AP</vt:lpstr>
      <vt:lpstr>AL81PeriodiekeUitk_AG</vt:lpstr>
      <vt:lpstr>AL81PeriodiekeUitk_AP</vt:lpstr>
      <vt:lpstr>AL81PeriodiekeUitk_KA_AG</vt:lpstr>
      <vt:lpstr>AL81PeriodiekeUitk_KA_AP</vt:lpstr>
      <vt:lpstr>AL85InkomstenEW_AG</vt:lpstr>
      <vt:lpstr>AL85InkomstenEW_AP</vt:lpstr>
      <vt:lpstr>AL89Inkomensvoorz_AG</vt:lpstr>
      <vt:lpstr>AL89Inkomensvoorz_AP</vt:lpstr>
      <vt:lpstr>AL90Kinderopvang_AG</vt:lpstr>
      <vt:lpstr>AL90Kinderopvang_AP</vt:lpstr>
      <vt:lpstr>AL93PersGebAftrek_AG</vt:lpstr>
      <vt:lpstr>AL93PersGebAftrek_AP</vt:lpstr>
      <vt:lpstr>AL94VerzInkomen_AG</vt:lpstr>
      <vt:lpstr>AL94VerzInkomen_AP</vt:lpstr>
      <vt:lpstr>ALZVWRestbedrag_AG</vt:lpstr>
      <vt:lpstr>ALZVWRestbedrag_AP</vt:lpstr>
      <vt:lpstr>BG041eaArbeidsloon_AG</vt:lpstr>
      <vt:lpstr>BG041eaArbeidsloon_AP</vt:lpstr>
      <vt:lpstr>BG042AOWuitkering_AG</vt:lpstr>
      <vt:lpstr>BG042AOWuitkering_AP</vt:lpstr>
      <vt:lpstr>BG043SocVerzWet_AG</vt:lpstr>
      <vt:lpstr>BG043SocVerzWet_AP</vt:lpstr>
      <vt:lpstr>BG050BrutoPensioen_AG</vt:lpstr>
      <vt:lpstr>BG050BrutoPensioen_AP</vt:lpstr>
      <vt:lpstr>BG060BijtellingAuto_AG</vt:lpstr>
      <vt:lpstr>BG060BijtellingAuto_AP</vt:lpstr>
      <vt:lpstr>BG060Jaaropgave1_AG</vt:lpstr>
      <vt:lpstr>BG060Jaaropgave1_AP</vt:lpstr>
      <vt:lpstr>BG060Jaaropgave2_AG</vt:lpstr>
      <vt:lpstr>BG060Jaaropgave2_AP</vt:lpstr>
      <vt:lpstr>BG082EWFAfbouwtarief</vt:lpstr>
      <vt:lpstr>BG083HypotheekrenteW2_AG</vt:lpstr>
      <vt:lpstr>BG083HypRente_W1_AG</vt:lpstr>
      <vt:lpstr>BG083HypRenteWoning1</vt:lpstr>
      <vt:lpstr>BG083HypRenteWoning2</vt:lpstr>
      <vt:lpstr>BG119aBijstand_AG</vt:lpstr>
      <vt:lpstr>BG119aBijstand_AP</vt:lpstr>
      <vt:lpstr>BG119aKGBNaScheidingAG</vt:lpstr>
      <vt:lpstr>BG119aKGBNaScheidingAP</vt:lpstr>
      <vt:lpstr>BG121NBI_AG</vt:lpstr>
      <vt:lpstr>BG121NBI_AP</vt:lpstr>
      <vt:lpstr>BG121NBI_KA_AG</vt:lpstr>
      <vt:lpstr>BG121NBI_KA_AP</vt:lpstr>
      <vt:lpstr>BG123MinForfWoonlast</vt:lpstr>
      <vt:lpstr>BG123VastWoonbudget_AG</vt:lpstr>
      <vt:lpstr>BG123VastWoonbudget_AP</vt:lpstr>
      <vt:lpstr>BG123WoonbudgetPercentage</vt:lpstr>
      <vt:lpstr>BGAOWLeeftijdBereikt_AG</vt:lpstr>
      <vt:lpstr>BGAOWLeeftijdBereikt_AP</vt:lpstr>
      <vt:lpstr>BGBelastingbedragSchijf3</vt:lpstr>
      <vt:lpstr>BGBelastingTariefBeperking</vt:lpstr>
      <vt:lpstr>BGBelastingTariefSchijf1</vt:lpstr>
      <vt:lpstr>BGBelastingTariefSchijf2</vt:lpstr>
      <vt:lpstr>BGDrempelRendement</vt:lpstr>
      <vt:lpstr>BGHeffingsvrijVermogen</vt:lpstr>
      <vt:lpstr>BGHypNettoVDKortingen_AG</vt:lpstr>
      <vt:lpstr>BGHypNettoVDKortingen_AP</vt:lpstr>
      <vt:lpstr>BGJaarBerekening</vt:lpstr>
      <vt:lpstr>BGKGBbij119a</vt:lpstr>
      <vt:lpstr>BGKGBvoorScheiding</vt:lpstr>
      <vt:lpstr>BGKind21Wel</vt:lpstr>
      <vt:lpstr>BGMKBWinstVrijstelling</vt:lpstr>
      <vt:lpstr>BGNBIMaxiamaliseren</vt:lpstr>
      <vt:lpstr>BGNieuwePartner_AP</vt:lpstr>
      <vt:lpstr>BGNieuwePartner_Percentage_AP</vt:lpstr>
      <vt:lpstr>BGOEW104EWFBox3_AG</vt:lpstr>
      <vt:lpstr>BGOEW104EWFBox3_AP</vt:lpstr>
      <vt:lpstr>BGOEW104SchuldBox3_AG</vt:lpstr>
      <vt:lpstr>BGOEW104SchuldBox3_AP</vt:lpstr>
      <vt:lpstr>BGOEW117aEWFZVW_AG</vt:lpstr>
      <vt:lpstr>BGOEW117aEWFZVW_AP</vt:lpstr>
      <vt:lpstr>BGOEW117aRenteZVW_AG</vt:lpstr>
      <vt:lpstr>BGOEW117aRenteZVW_AP</vt:lpstr>
      <vt:lpstr>BGOEW123Rente_AG</vt:lpstr>
      <vt:lpstr>BGOEW123Rente_AP</vt:lpstr>
      <vt:lpstr>BGOEW138RentePA_AG</vt:lpstr>
      <vt:lpstr>BGOEW138RentePA_AP</vt:lpstr>
      <vt:lpstr>BGOEW24MndTermijn</vt:lpstr>
      <vt:lpstr>BGOEW81EWFPA_AG</vt:lpstr>
      <vt:lpstr>BGOEW81EWFPA_AP</vt:lpstr>
      <vt:lpstr>BGOEW81RentePA_AG</vt:lpstr>
      <vt:lpstr>BGOEW81RentePA_AP</vt:lpstr>
      <vt:lpstr>BGOEW82aEWF_AG</vt:lpstr>
      <vt:lpstr>BGOEW82aEWF_AP</vt:lpstr>
      <vt:lpstr>BGOEW83aRente_AG</vt:lpstr>
      <vt:lpstr>BGOEW83aRente_AP</vt:lpstr>
      <vt:lpstr>BGOEW83aRentePA_AG</vt:lpstr>
      <vt:lpstr>BGOEW83aRentePA_AP</vt:lpstr>
      <vt:lpstr>BGOEW92aEWFPA_AG</vt:lpstr>
      <vt:lpstr>BGOEW92aEWFPA_AP</vt:lpstr>
      <vt:lpstr>BGOEWAflossing</vt:lpstr>
      <vt:lpstr>BGOEWDraagkracht</vt:lpstr>
      <vt:lpstr>BGOEWErfpacht</vt:lpstr>
      <vt:lpstr>BGOEWEWF</vt:lpstr>
      <vt:lpstr>BGOEWForfaitaireLasten</vt:lpstr>
      <vt:lpstr>BGOEWRekenModule</vt:lpstr>
      <vt:lpstr>BGOEWRenteBetaler</vt:lpstr>
      <vt:lpstr>BGOEWSituatie1_5</vt:lpstr>
      <vt:lpstr>BGOEWTotRente</vt:lpstr>
      <vt:lpstr>BGOEWTotSchuld</vt:lpstr>
      <vt:lpstr>BGOEWVerlater</vt:lpstr>
      <vt:lpstr>BGOEWWoonvergoeding</vt:lpstr>
      <vt:lpstr>BGOppaskostenvoorScheiding</vt:lpstr>
      <vt:lpstr>BGPartner_AG</vt:lpstr>
      <vt:lpstr>BGPartner_AP</vt:lpstr>
      <vt:lpstr>BGTariefBox2</vt:lpstr>
      <vt:lpstr>BGTariefBox3</vt:lpstr>
      <vt:lpstr>BGZVWJaarInkomen</vt:lpstr>
      <vt:lpstr>BGZVWPremie</vt:lpstr>
      <vt:lpstr>KADraagkrachtTekort</vt:lpstr>
      <vt:lpstr>KAEigenAandeel</vt:lpstr>
      <vt:lpstr>KAEigenAandeelAG</vt:lpstr>
      <vt:lpstr>KAEigenAandeelAP</vt:lpstr>
      <vt:lpstr>KAKindRekenAantal</vt:lpstr>
      <vt:lpstr>KAKindTotaalAantal</vt:lpstr>
      <vt:lpstr>KAKortingDraagkracht</vt:lpstr>
      <vt:lpstr>KANBIBerekend</vt:lpstr>
      <vt:lpstr>KANBIBovengrens</vt:lpstr>
      <vt:lpstr>KANBIOndergrens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Arjo Snijder Sr.</dc:creator>
  <cp:lastModifiedBy>Snijder, A.J.</cp:lastModifiedBy>
  <cp:lastPrinted>2019-04-13T17:39:54Z</cp:lastPrinted>
  <dcterms:created xsi:type="dcterms:W3CDTF">2015-06-09T18:15:20Z</dcterms:created>
  <dcterms:modified xsi:type="dcterms:W3CDTF">2025-01-02T15:08:18Z</dcterms:modified>
</cp:coreProperties>
</file>