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d.docs.live.net/8a0e41b63ed7fe2b/Documents/Alimentatie-Scheiding-Website/Alimentatie/2025-1e-halfjaar/"/>
    </mc:Choice>
  </mc:AlternateContent>
  <xr:revisionPtr revIDLastSave="1513" documentId="8_{097DC6DB-C8B2-45DA-A786-17A2872E24FA}" xr6:coauthVersionLast="47" xr6:coauthVersionMax="47" xr10:uidLastSave="{8D2E4FBD-CB65-4CB0-97A9-BBEC123D383B}"/>
  <bookViews>
    <workbookView xWindow="28680" yWindow="-120" windowWidth="29040" windowHeight="17520" tabRatio="865" xr2:uid="{00000000-000D-0000-FFFF-FFFF00000000}"/>
  </bookViews>
  <sheets>
    <sheet name="Handleiding" sheetId="18" r:id="rId1"/>
    <sheet name="Samenvatting" sheetId="13" r:id="rId2"/>
    <sheet name="Basisgegevens" sheetId="7" r:id="rId3"/>
    <sheet name="Alimentatie 2025-01" sheetId="6" r:id="rId4"/>
    <sheet name="Kinderalimentatie" sheetId="8" r:id="rId5"/>
    <sheet name="Behoefteberekening" sheetId="17" r:id="rId6"/>
    <sheet name="Inkomensvergelijking" sheetId="16" r:id="rId7"/>
    <sheet name="Woonlasten_afwijkend" sheetId="19" r:id="rId8"/>
    <sheet name="KGB-Berekening" sheetId="20" r:id="rId9"/>
    <sheet name="Wijzigingen" sheetId="14" r:id="rId10"/>
    <sheet name="Keuzelijsten" sheetId="9" r:id="rId11"/>
  </sheets>
  <definedNames>
    <definedName name="_xlnm._FilterDatabase" localSheetId="3" hidden="1">'Alimentatie 2025-01'!$A$2:$J$332</definedName>
    <definedName name="_xlnm.Print_Area" localSheetId="5">Behoefteberekening!$A$1:$G$18</definedName>
    <definedName name="_xlnm.Print_Area" localSheetId="6">Inkomensvergelijking!$A$1:$F$26</definedName>
    <definedName name="_xlnm.Print_Area" localSheetId="1">Samenvatting!$A$1:$H$7</definedName>
    <definedName name="AL100InkAanmBelang_AG" comment="Post 100 Inkomen uit aanmerkelijk belang AG">'Alimentatie 2025-01'!$G$147</definedName>
    <definedName name="AL100InkAanmBelang_AP" comment="Post 100 Inkomen uit aanmerkelijk belang AP">'Alimentatie 2025-01'!$D$147</definedName>
    <definedName name="AL103WerkVemInk_AG" comment="Post 103 Werkelijke vemogens-inkomsten AG">'Alimentatie 2025-01'!$G$155</definedName>
    <definedName name="AL103WerkVemInk_AP" comment="Post 103 Werkelijke vemogensinkomsten AP">'Alimentatie 2025-01'!$D$155</definedName>
    <definedName name="AL108GrondslagSenB_AG" comment="Post 108 Grondslag Sparen en Beleggen AG">'Alimentatie 2025-01'!$G$171</definedName>
    <definedName name="AL108GrondslagSenB_AP" comment="Post 108 Grondslag Sparen en Beleggen AP">'Alimentatie 2025-01'!$D$171</definedName>
    <definedName name="AL111InkomenBox3_AG" comment="Post 111 Belastbaar inkomen uit sparen en beleggen box 3 AG">'Alimentatie 2025-01'!$G$175</definedName>
    <definedName name="AL111InkomenBox3_AP" comment="Post 111 Belastbaar inkomen uit sparen en beleggen box 3 AP">'Alimentatie 2025-01'!$D$175</definedName>
    <definedName name="AL117aRestZVWbedrag_AG" comment="Het resterende inkomen waarover nog ZKV premie geheven kan worden AG">'Alimentatie 2025-01'!$G$213</definedName>
    <definedName name="AL117aRestZVWbedrag_AP" comment="Het resterende inkomen waarover nog ZKV premie geheven kan worden AP">'Alimentatie 2025-01'!$D$213</definedName>
    <definedName name="AL121NBI_AG">'Alimentatie 2025-01'!$G$247</definedName>
    <definedName name="AL121NBI_AP">'Alimentatie 2025-01'!$D$247</definedName>
    <definedName name="AL121NBI_KA_AG">'Alimentatie 2025-01'!$H$247</definedName>
    <definedName name="AL121NBI_KA_AG_Z_KGB">'Alimentatie 2025-01'!$I$247</definedName>
    <definedName name="AL121NBI_KA_AP">'Alimentatie 2025-01'!$E$247</definedName>
    <definedName name="AL121NBI_KA_AP_Z_KGB">'Alimentatie 2025-01'!$F$247</definedName>
    <definedName name="AL135_Draagkrachtloos_AG">'Alimentatie 2025-01'!$G$268</definedName>
    <definedName name="AL135_Draagkrachtloos_AP">'Alimentatie 2025-01'!$D$268</definedName>
    <definedName name="AL136_Draagkracht_AG_Z_KGB">'Alimentatie 2025-01'!$G$288</definedName>
    <definedName name="AL136_Draagkracht_AP_Z_KGB">'Alimentatie 2025-01'!$D$288</definedName>
    <definedName name="AL136_Draagkrachtruimte_AG">'Alimentatie 2025-01'!$G$273</definedName>
    <definedName name="AL136_Draagkrachtruimte_AP">'Alimentatie 2025-01'!$D$273</definedName>
    <definedName name="AL41_50BrutoInkomen_AG" comment="Post 41 tm 50 Bruto Jaar inkomen AG">'Alimentatie 2025-01'!$G$21</definedName>
    <definedName name="AL41_50BrutoInkomen_AP" comment="Post 41 tm 50 Bruto Jaar inkomen AP">'Alimentatie 2025-01'!$D$21</definedName>
    <definedName name="AL41Arbeidsinkomen_AG" comment="Post 41 Bruto arbeidsinkomen uit dienstbetrekking AG">'Alimentatie 2025-01'!$G$6</definedName>
    <definedName name="AL41Arbeidsinkomen_AP" comment="Post 41 Bruto arbeidsinkomen uit dienstbetrekking AP">'Alimentatie 2025-01'!$D$6</definedName>
    <definedName name="AL41DGA_AG" comment="Post 41 Zijn dit inkomsten verkregen als DGA en moet een eigen bijdrage ZVW worden betaald? (Standaard is Nee) AG">'Alimentatie 2025-01'!$G$13</definedName>
    <definedName name="AL41DGA_AP" comment="Post 41 Zijn dit inkomsten verkregen als DGA en moet een eigen bijdrage ZVW worden betaald? (Standaard is Nee) AP">'Alimentatie 2025-01'!$D$13</definedName>
    <definedName name="AL42AOWUitkering_AG" comment="Post 42 Bruto AOW uitkering AG">'Alimentatie 2025-01'!$G$15</definedName>
    <definedName name="AL42AOWuitkering_AP" comment="Post 42 Bruto AOW uitkering AP">'Alimentatie 2025-01'!$D$15</definedName>
    <definedName name="AL43SocVerz_AG" comment="Post 43 Bruto Uitkering Soc. verzekeringswetten AP">'Alimentatie 2025-01'!$G$16</definedName>
    <definedName name="AL43SocVerz_AP" comment="Post 43 Bruto Uitkering Soc. verzekeringswetten AP">'Alimentatie 2025-01'!$D$16</definedName>
    <definedName name="AL45Bouwinkomen_AG" comment="Post 45: Inkomen Bouw incl. vakantiebonnen AG">'Alimentatie 2025-01'!$G$17</definedName>
    <definedName name="AL45Bouwinkomen_AP" comment="Post 45: Inkomen Bouw incl. vakantiebonnen AP">'Alimentatie 2025-01'!$D$17</definedName>
    <definedName name="AL50BrutoPensioen_AG" comment="Post 50 Bruto Pensioen uitkering AG">'Alimentatie 2025-01'!$G$20</definedName>
    <definedName name="AL50BrutoPensioen_AP" comment="Post 50 Bruto Pensioen uitkering AP">'Alimentatie 2025-01'!$D$20</definedName>
    <definedName name="AL51aPensioenSparen_AG">'Alimentatie 2025-01'!$H$31</definedName>
    <definedName name="AL51aPensioenSparen_AP" comment="Post 51a: Afgedragen premie Netto Pensioensparen AP">'Alimentatie 2025-01'!$E$31</definedName>
    <definedName name="AL51Pensioenpremie_AG" comment="Post 51 Ingehouden pensionpremie AG">'Alimentatie 2025-01'!$G$30</definedName>
    <definedName name="AL51Pensioenpremie_AP" comment="Post 51 Ingehouden pensioen-premie AP">'Alimentatie 2025-01'!$D$30</definedName>
    <definedName name="AL52VUTFPUpremie_AG" comment="Post 52 Premie VUT/FPU etc AG">'Alimentatie 2025-01'!$G$32</definedName>
    <definedName name="AL52VUTFPUpremie_AP" comment="Post 52 Premie VUT/FPU etc AP">'Alimentatie 2025-01'!$D$32</definedName>
    <definedName name="AL53WAOWIAgat_AG" comment="Post 53 Premie WAO/WIA-gat AG">'Alimentatie 2025-01'!$G$33</definedName>
    <definedName name="AL53WAOWIAgat_AP" comment="Post 53 Premie WAO/WIA-gat AP">'Alimentatie 2025-01'!$D$33</definedName>
    <definedName name="AL54LoonvoorPremies_AG" comment="Post 54 hLoon voor premies Werknemersverzekeringen AG">'Alimentatie 2025-01'!$G$34</definedName>
    <definedName name="AL54LoonvoorPremies_AP" comment="Post 54 hLoon voor premies Werknemersverzekeringen AP">'Alimentatie 2025-01'!$D$34</definedName>
    <definedName name="AL55PremieWW_AG" comment="Post 55 Premie WW AG">'Alimentatie 2025-01'!$G$37</definedName>
    <definedName name="AL55PremieWW_AP" comment="Post 55 Premie WW AP">'Alimentatie 2025-01'!$D$37</definedName>
    <definedName name="AL56PremieAOV_AG" comment="Post 56 Premie Arbeidsongeschikt-heidsverzekering AG">'Alimentatie 2025-01'!$G$38</definedName>
    <definedName name="AL56PremieAOV_AP" comment="Post 56 Premie Arbeidsongeschikt-heidsverzekering AP">'Alimentatie 2025-01'!$D$38</definedName>
    <definedName name="AL58Ziektekosten_AG" comment="Post 58 Belaste bijdrage in de ziektekosten AG">'Alimentatie 2025-01'!$G$43</definedName>
    <definedName name="AL58Ziektekosten_AP" comment="Post 58 Belaste bijdrage in de ziektekosten AP">'Alimentatie 2025-01'!$D$43</definedName>
    <definedName name="AL59Arbeidsinkomen_AG" comment="Post 59 Arbeidsinkomen van de AG o.b.v. loonstroken (59) (zie ook post 60)">'Alimentatie 2025-01'!$G$44</definedName>
    <definedName name="AL59Arbeidsinkomen_AP" comment="Post 59 Arbeidsinkomen van de AP o.b.v. loonstroken (59) (zie ook post 60)">'Alimentatie 2025-01'!$D$44</definedName>
    <definedName name="AL60Arbeidsinkomen_AG" comment="Post 60 Arbeidsinkomen van de AG o.b.v. jaaropgave (60) (zie ook post 59)">'Alimentatie 2025-01'!$G$50</definedName>
    <definedName name="AL60Arbeidsinkomen_AP" comment="Post 60 Arbeidsinkomen van de AP o.b.v. jaaropgave (60) (zie ook post 59)">'Alimentatie 2025-01'!$D$50</definedName>
    <definedName name="AL64BelastbaarLoon_AG" comment="Post 64 Belastbaar loon AG (a)">'Alimentatie 2025-01'!$G$56</definedName>
    <definedName name="AL64BelastbaarLoon_AP" comment="Post 64 Belastbaar Loon AP (a)">'Alimentatie 2025-01'!$D$56</definedName>
    <definedName name="AL70WinstOnderneming_AG" comment="Post 70 Winst uit onderneming AG">'Alimentatie 2025-01'!$G$66</definedName>
    <definedName name="AL70WinstOnderneming_AP" comment="Post 70 Winst uit onderneming AP">'Alimentatie 2025-01'!$D$66</definedName>
    <definedName name="AL75BelastbareWinst_AG" comment="Post 75 Belastbare Winst AG (b)">'Alimentatie 2025-01'!$G$75</definedName>
    <definedName name="AL75BelastbareWinst_AP" comment="Post 75 Belastbare Winst AP">'Alimentatie 2025-01'!$D$75</definedName>
    <definedName name="AL78OverigeWerkz_AG" comment="Post 78 Resultaat Overige Werkzaamheden AG">'Alimentatie 2025-01'!$G$80</definedName>
    <definedName name="AL78OverigeWerkz_AP" comment="Post 78 Resultaat Overige Werkzaamheden AP">'Alimentatie 2025-01'!$D$80</definedName>
    <definedName name="AL79aVEWRentePA_AG" comment="Post 79a Door de ex. partner AP betaalde hypotheekrente als partneralimentatie ">'Alimentatie 2025-01'!$G$84</definedName>
    <definedName name="AL79aVEWRentePA_AP" comment="Post 79a Door de ex. partner AG betaalde hypotheekrente als partneralimentatie AL79aVEWRentePA_AP">'Alimentatie 2025-01'!$D$84</definedName>
    <definedName name="AL81OEWFictiefInk_AG" comment="Post 81: Fictief inkomen uit OEW AG">'Alimentatie 2025-01'!$G$91</definedName>
    <definedName name="AL81OEWFictiefInk_AP" comment="Post 81: Fictief inkomen uit OEW AP">'Alimentatie 2025-01'!$D$91</definedName>
    <definedName name="AL81PeriodiekeUitk_AG" comment="Post 81 Periode Uitkeringen en Verstrekkingen AG (d)">'Alimentatie 2025-01'!$G$86</definedName>
    <definedName name="AL81PeriodiekeUitk_AP" comment="Post 81 Periodieke Uitkeringen en Verstrekkingen (d) AP">'Alimentatie 2025-01'!$D$86</definedName>
    <definedName name="AL81PeriodiekeUitk_KA_AG" comment="Post 81 Periodieke Uitkeringen en Verstrekkingen (d) KA AG">'Alimentatie 2025-01'!$H$86</definedName>
    <definedName name="AL81PeriodiekeUitk_KA_AP" comment="Post 81 Periodieke Uitkeringen en Verstrekkingen (d) KA AP">'Alimentatie 2025-01'!$E$86</definedName>
    <definedName name="AL85InkomstenEW_AG" comment="Post 85: (Fictieve) inkomsten uit Eigen Woning AG">'Alimentatie 2025-01'!$G$102</definedName>
    <definedName name="AL85InkomstenEW_AP" comment="Post 85: (Fictieve) inkomsten uit Eigen Woning AP">'Alimentatie 2025-01'!$D$102</definedName>
    <definedName name="AL89Inkomensvoorz_AG" comment="Post 89 Uitgaven voor inkomens-voorziening AG">'Alimentatie 2025-01'!$G$108</definedName>
    <definedName name="AL89Inkomensvoorz_AP" comment="Post 89 Uitgaven voor inkomens-voorziening AP">'Alimentatie 2025-01'!$D$108</definedName>
    <definedName name="AL90Kinderopvang_AG" comment="Post 90 Uitgaven voor kinder-opvang AG">'Alimentatie 2025-01'!$G$110</definedName>
    <definedName name="AL90Kinderopvang_AP" comment="Post 90 Uitgaven voor kinder-opvang AP">'Alimentatie 2025-01'!$D$110</definedName>
    <definedName name="AL93PersGebAftrek_AG" comment="Post 93 Persoonsgebonden aftrek AG">'Alimentatie 2025-01'!$G$116</definedName>
    <definedName name="AL93PersGebAftrek_AP" comment="Post 93 Persoonsgebonden aftrek AP">'Alimentatie 2025-01'!$D$116</definedName>
    <definedName name="AL94VerzInkomen_AG" comment="Post 94 Bbelastbaar/verzamel-inkomen van de AG">'Alimentatie 2025-01'!$G$129</definedName>
    <definedName name="AL94VerzInkomen_AP" comment="Post 94 Belastbaar / verzamel-inkomen van de AP">'Alimentatie 2025-01'!$D$129</definedName>
    <definedName name="ALZVWRestbedrag_AG" comment="Het restbedrag waarover nog ZVW premie geheven zou mogen worden AG">'Alimentatie 2025-01'!$G$200</definedName>
    <definedName name="ALZVWRestbedrag_AP" comment="Het restbedrag waarover nog ZVW premie geheven zou mogen worden AP">'Alimentatie 2025-01'!$D$200</definedName>
    <definedName name="BG_Onderde12_AG">Basisgegevens!$D$339</definedName>
    <definedName name="BG_Onderde12_AP">Basisgegevens!$C$339</definedName>
    <definedName name="BG041eaArbeidsloon_AG" comment="Post 41: De totale inkomsten uit Arbeid inclusief de post 42, 44 en 46 t/m 48 AG">Basisgegevens!$F$73</definedName>
    <definedName name="BG041eaArbeidsloon_AP" comment="Post 41: De totale inkomsten uit Arbeid inclusief de post 42, 44 en 46 t/m 48 AP">Basisgegevens!$D$73</definedName>
    <definedName name="BG042AOWuitkering_AG" comment="Post 42 Bruto AOW uitkering AG">Basisgegevens!$F$124</definedName>
    <definedName name="BG042AOWuitkering_AP" comment="Post 42 Bruto AOW uitkering AP">Basisgegevens!$D$124</definedName>
    <definedName name="BG043SocVerzWet_AG" comment="Post 43: Bruto uitkering Sociale verzekeringswetten AG">Basisgegevens!$F$133</definedName>
    <definedName name="BG043SocVerzWet_AP" comment="Post 43: Bruto uitkering Sociale verzekeringswetten AP">Basisgegevens!$D$133</definedName>
    <definedName name="BG050BrutoPensioen_AG" comment="Post 50 Bruto pensioen uitkering AG">Basisgegevens!$F$141</definedName>
    <definedName name="BG050BrutoPensioen_AP" comment="Post 50 Bruto pensioen uitkering AP">Basisgegevens!$D$141</definedName>
    <definedName name="BG060BijtellingAuto_AG" comment="Post 60 Bijtelling (lease)auto - bij Ja - in mindering brengen op loon jaaropgave werkgever 1 AG">Basisgegevens!$F$34</definedName>
    <definedName name="BG060BijtellingAuto_AP" comment="Post 60 Bijtelling (lease)auto - bij Ja - in mindering brengen op loon jaaropgave werkgever 1 AP">Basisgegevens!$D$34</definedName>
    <definedName name="BG060Jaaropgave1_AG" comment="Post 60 Loon volgens jaaropgave werkgever 1 incl. evt. bijtelling leaseauto AG">Basisgegevens!$E$33</definedName>
    <definedName name="BG060Jaaropgave1_AP" comment="Post 60 Loon volgens jaaropgave werkgever 1 incl. evt. bijtelling leaseauto AP">Basisgegevens!$C$33</definedName>
    <definedName name="BG060Jaaropgave2_AG" comment="Post 60 Loon volgens jaaropgave werkgever 2 AG">Basisgegevens!$E$35</definedName>
    <definedName name="BG060Jaaropgave2_AP" comment="Post 60 Loon volgens jaaropgave werkgever 2 AP">Basisgegevens!$C$35</definedName>
    <definedName name="BG082EWFAfbouwtarief" comment="De aftrek geen/kleine eigenwoningschuld wordt jaarlijks x% lager tot uiteindelijk 0% in 2048">Basisgegevens!$C$182</definedName>
    <definedName name="BG083HypotheekrenteW2_AG" comment="Post 83 Hypotheekrente van woning 2 AG (bij geen OEW)">Basisgegevens!$E$189</definedName>
    <definedName name="BG083HypRente_W1_AG" comment="Post 83 Hypotheekrente van woning 1 AG (geen OEW)">Basisgegevens!$F$176</definedName>
    <definedName name="BG083HypRenteWoning1" comment="Post 83 Hypotheekrente van woning 1">Basisgegevens!$E$176</definedName>
    <definedName name="BG083HypRenteWoning2" comment="Post 83 Hypotheekrente van woning 2 AP (bij geen OEW)">Basisgegevens!$F$189</definedName>
    <definedName name="BG119aBijstand_AG" comment="Door de AG ontvangen bijstand">Basisgegevens!$F$212</definedName>
    <definedName name="BG119aBijstand_AP" comment="Door de AP ontvangen bijstand">Basisgegevens!$D$212</definedName>
    <definedName name="BG119aKGBNaScheidingAG" comment="Het na scheiding te ontvangen Kindgebonden budget (KGB) door AG">Basisgegevens!$D$301</definedName>
    <definedName name="BG119aKGBNaScheidingAP" comment="Het na scheiding te ontvangen Kindgebonden budget (KGB) door AP">Basisgegevens!$C$301</definedName>
    <definedName name="BG121NBI_AG">Basisgegevens!$D$252</definedName>
    <definedName name="BG121NBI_AP">Basisgegevens!$C$252</definedName>
    <definedName name="BG121NBI_KA_AG">Basisgegevens!$D$251</definedName>
    <definedName name="BG121NBI_KA_AP">Basisgegevens!$C$251</definedName>
    <definedName name="BG122_DraagkrachtKA_AG">Basisgegevens!$D$254</definedName>
    <definedName name="BG122_DraagkrachtKA_AG_Z_KGB">Basisgegevens!$N$254</definedName>
    <definedName name="BG122_DraagkrachtKA_AP">Basisgegevens!$C$254</definedName>
    <definedName name="BG122_DraagkrachtKA_AP_Z_KGB">Basisgegevens!$M$254</definedName>
    <definedName name="BG123VastWoonbudget_AG">Basisgegevens!$D$256</definedName>
    <definedName name="BG123VastWoonbudget_AG_Z_KGB">Basisgegevens!$N$256</definedName>
    <definedName name="BG123VastWoonbudget_AP">Basisgegevens!$C$256</definedName>
    <definedName name="BG123VastWoonbudget_AP_Z_KGB">Basisgegevens!$M$256</definedName>
    <definedName name="BG123WoonbudgetPercentage" comment="Het woonbudget% van het Netto Besteedbaar Inkomen (NBI)">Basisgegevens!$C$224</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Basisgegevens!$C$217</definedName>
    <definedName name="BGBelastingTariefSchijf1" comment="Het belastingtarief in schijf 1">Basisgegevens!$O$15</definedName>
    <definedName name="BGBelastingTariefSchijf2" comment="Belastingtarief in schijf 2">Basisgegevens!$O$16</definedName>
    <definedName name="BGBelastingTariefSchijf3" comment="Belastingtarief in schijf 3">Basisgegevens!$O$17</definedName>
    <definedName name="BGDrempelRendement" comment="Drempelbedrag schulden bij rendementsgrondslag">Basisgegevens!$C$220</definedName>
    <definedName name="BGHeffingsvrijVermogen" comment="Heffingsvrij vermogen zonder fiscale partner">Basisgegevens!$M$206</definedName>
    <definedName name="BGHypNettoVDKortingen_AG" comment="Het verschil aan heffingskortingen o.b.v. betaalde hypotheekrente t.a.v. bepalen van het netto belastingvoordeel hiervan voor de woonlasten AG">Basisgegevens!#REF!</definedName>
    <definedName name="BGHypNettoVDKortingen_AP" comment="Het verschil aan heffingskortingen o.b.v. betaalde hypotheekrente t.a.v. bepalen van het netto belastingvoordeel hiervan voor de woonlasten AP.">Basisgegevens!#REF!</definedName>
    <definedName name="BGJaarBerekening" comment="Het jaartal waarvoor de berekening moet worden gemaakt">Basisgegevens!$C$17</definedName>
    <definedName name="BGKGBbij119a" comment="Het - na scheiding - te ontvangen Kingebondenbudget opvoeren bij post 119a?">Basisgegevens!$C$303</definedName>
    <definedName name="BGKGBvoorScheiding">Basisgegevens!$E$294</definedName>
    <definedName name="BGKind21Wel" comment="Een kind van 21 jaar of ouder wel mee blijven nemen bij de berekening van de kinderalimentatie">Basisgegevens!$E$306</definedName>
    <definedName name="BGMKBWinstVrijstelling">Basisgegevens!$C$165</definedName>
    <definedName name="BGNBIMaxiamaliseren" comment="NBI maximaliseren op € 6000,- bij een NBI &gt; € 6000,- (Ja / Nee)">Basisgegevens!$C$304</definedName>
    <definedName name="BGNieuwePartner_AP" comment="Is er sprake van een nieuwe partner van AP met voldoende eigen inkomen?">Basisgegevens!$C$11</definedName>
    <definedName name="BGNieuwePartner_Percentage_AP" comment="Het % dat de nieuwe partner van AP bijdraagt in de woonlasten">Basisgegevens!$C$12</definedName>
    <definedName name="BGOEW104EWFBox3_AG" comment="Post 104 OEW het EWF-aandeel naar box 3 AG">Basisgegevens!$Q$187</definedName>
    <definedName name="BGOEW104EWFBox3_AP" comment="Post 104 OEW het EWF-aandeel naar box 3 AP">Basisgegevens!$P$187</definedName>
    <definedName name="BGOEW104SchuldBox3_AG" comment="Post 104 OEW het aandeel in de woningschuld naar box 3 AG">Basisgegevens!$Q$195</definedName>
    <definedName name="BGOEW104SchuldBox3_AP" comment="Post 104 OEW het aandeel in de woningschuld naar box 3 AP">Basisgegevens!$P$195</definedName>
    <definedName name="BGOEW117aEWFZVW_AG" comment="Bedrag aan Eigen Woning Forfait waarover bijdrage ZVW is verschuldigd AG">Basisgegevens!$Q$188</definedName>
    <definedName name="BGOEW117aEWFZVW_AP" comment="Bedrag aan Eigen Woning Forfait waarover bijdrage ZVW is verschuldigd">Basisgegevens!$P$188</definedName>
    <definedName name="BGOEW117aRenteZVW_AG" comment="Bedrag aan Rente waarover bijdrage ZVW is verschuldigd AG">Basisgegevens!$Q$192</definedName>
    <definedName name="BGOEW117aRenteZVW_AP" comment="Bedrag aan Rente waarover bijdrage ZVW is verschuldigd AP">Basisgegevens!$P$192</definedName>
    <definedName name="BGOEW123Rente_AG" comment="Post 123 OEW Rente OEW AG">Basisgegevens!$Q$193</definedName>
    <definedName name="BGOEW123Rente_AP" comment="Post 123 OEW Rente OEW AP">Basisgegevens!$P$193</definedName>
    <definedName name="BGOEW138RentePA_AG" comment="Post 138 Rente betaaald aan ex als PA AG">Basisgegevens!$Q$194</definedName>
    <definedName name="BGOEW138RentePA_AP" comment="Post 138 Rente betaaald aan ex als PA AP">Basisgegevens!$P$194</definedName>
    <definedName name="BGOEW24MndTermijn" comment="Woning langer dan 24 maanden geleden verlaten?">Basisgegevens!$P$168</definedName>
    <definedName name="BGOEW81EWFPA_AG" comment="Post 81 Eigen Woning Forfait ontvangen als PA door AG (81)">Basisgegevens!$Q$184</definedName>
    <definedName name="BGOEW81EWFPA_AP" comment="Post 81 Eigen Woning Forfait ontvangen als PA door AP (81)">Basisgegevens!$P$184</definedName>
    <definedName name="BGOEW81RentePA_AG" comment="Post 81 Eigen Woning Rente ontvangen als PA door AG (81)">Basisgegevens!$Q$189</definedName>
    <definedName name="BGOEW81RentePA_AP" comment="Post 81 Eigen Woning Rente ontvangen als PA door AP (81)">Basisgegevens!$P$189</definedName>
    <definedName name="BGOEW82aEWF_AG" comment="Post 82a Onverdeeld Eigen Woning Forfait ten laste van AG">Basisgegevens!$Q$185</definedName>
    <definedName name="BGOEW82aEWF_AP" comment="Post 82a Onverdeeld Eigen Woning Forfait ten laste van AP">Basisgegevens!$P$185</definedName>
    <definedName name="BGOEW83aRente_AG" comment="Post 83a Onverdeeld Eigen Woning Rente Eigen aandeel AG">Basisgegevens!$Q$190</definedName>
    <definedName name="BGOEW83aRente_AP" comment="Post 83a Onverdeeld Eigen Woning Rente Eigen aandeel AP">Basisgegevens!$P$190</definedName>
    <definedName name="BGOEW83aRentePA_AG" comment="Post 83a Onverdeeld Eigen Woning Rente betaald als PA AP">Basisgegevens!$Q$191</definedName>
    <definedName name="BGOEW83aRentePA_AP" comment="Post 83a Onverdeeld Eigen Woning Rente betaald als PA AP">Basisgegevens!$P$191</definedName>
    <definedName name="BGOEW92aEWFPA_AG" comment="Post 92a Onverdeeld Eigen Woning Forfait betaald als PA AG">Basisgegevens!$Q$186</definedName>
    <definedName name="BGOEW92aEWFPA_AP" comment="Post 92a Onverdeeld Eigen Woning Forfait betaald als PA AP">Basisgegevens!$P$186</definedName>
    <definedName name="BGOEWAflossing" comment="Wie betaald de aflossing voor de Onverdeeld Eigen Woning?">Basisgegevens!$P$173</definedName>
    <definedName name="BGOEWDraagkracht" comment="Keuzelijst tussen: Berekenen o.b.v. Draagkracht (Standaaard) of Draagkrachtloos inkomen">Basisgegevens!$P$177</definedName>
    <definedName name="BGOEWErfpacht" comment="Wie betaald post 84 Periodieke betaling erfpacht etc.">Basisgegevens!$P$174</definedName>
    <definedName name="BGOEWEWF" comment="Wat is het Eigen Woning Forfait?">Basisgegevens!$P$170</definedName>
    <definedName name="BGOEWForfaitaireLasten" comment="Wie betaald de fofaitaire eigenaarslasten?">Basisgegevens!$P$175</definedName>
    <definedName name="BGOEWRekenModule" comment="Rekenen met Onverdeeld Eigen Woning Module?">Basisgegevens!$E$167</definedName>
    <definedName name="BGOEWRenteBetaler" comment="Wie betaald de rente?">Basisgegevens!$P$172</definedName>
    <definedName name="BGOEWSituatie1_5" comment="Geeft de situatie aan bij een Onverdeelde Eigen Woning (1 t/m 5)">Basisgegevens!$P$178</definedName>
    <definedName name="BGOEWTotRente" comment="Totale hypotheekrente/jaar">Basisgegevens!$P$171</definedName>
    <definedName name="BGOEWTotSchuld" comment="Totale schuld van de Onverdeeld Eigen Woning">Basisgegevens!$P$176</definedName>
    <definedName name="BGOEWVerlater" comment="Wie heeft de eigen woning verlaten">Basisgegevens!$P$167</definedName>
    <definedName name="BGOEWWoonvergoeding" comment="Te ontvangen woonvergoeding door de verlater van de woning">Basisgegevens!$E$196</definedName>
    <definedName name="BGOppaskostenvoorScheiding">Basisgegevens!$E$293</definedName>
    <definedName name="BGPartner_AG" comment="De alimentatiegerechtigde partner AG">Basisgegevens!$D$4</definedName>
    <definedName name="BGPartner_AP" comment="De alimentatieplichtinge partner PA">Basisgegevens!$C$4</definedName>
    <definedName name="BGTariefBox2">Basisgegevens!$C$218</definedName>
    <definedName name="BGTariefBox3">Basisgegevens!$C$219</definedName>
    <definedName name="BGZVWJaarInkomen" comment="Maximale inkomen uit arbeid waarover ZVW-premie wordt geheven">Basisgegevens!$C$222</definedName>
    <definedName name="BGZVWPremie" comment="% premie ZVW bij Partner Alimenentatie">Basisgegevens!$C$221</definedName>
    <definedName name="IV_94_Verz_Ink_AP">Inkomensvergelijking!$C$56</definedName>
    <definedName name="KADraagkracht_AG">Kinderalimentatie!$U$7</definedName>
    <definedName name="KADraagkracht_AG_Z_KGB">Kinderalimentatie!$AH$7</definedName>
    <definedName name="KADraagkracht_AP">Kinderalimentatie!$U$6</definedName>
    <definedName name="KADraagkracht_AP_Z_KGB">Kinderalimentatie!$AH$6</definedName>
    <definedName name="KADraagkracht_Tot">Kinderalimentatie!$U$8</definedName>
    <definedName name="KADraagkracht_Tot_Z_KGB">Kinderalimentatie!$AH$8</definedName>
    <definedName name="KADraagkrachtTekort" comment="Het bedrag wat er tekort is aan draagkracht">Kinderalimentatie!$U$10</definedName>
    <definedName name="KADraagkrachtTekort_Z_KGB">Kinderalimentatie!$AH$10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Kinderalimentatie!$M$10</definedName>
    <definedName name="KAKindTotaalAantal" comment="Werkelijk aantal kinderen onder de 21 jaar">Kinderalimentatie!$L$10</definedName>
    <definedName name="KAKortingDraagkracht" comment="Kortingspercentage als er te weinig draagkracht is">Kinderalimentatie!$U$12</definedName>
    <definedName name="KAKortingDraagkracht_Z_ZKG">Kinderalimentatie!$AH$12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 name="KGB_BijScheiding">'KGB-Berekening'!$G$46</definedName>
  </definedNam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20" l="1" a="1"/>
  <c r="M5" i="20"/>
  <c r="G18" i="20"/>
  <c r="G17" i="20"/>
  <c r="E18" i="20"/>
  <c r="E17" i="20"/>
  <c r="E16" i="20"/>
  <c r="E15" i="20"/>
  <c r="E13" i="20"/>
  <c r="E12" i="20"/>
  <c r="E10" i="20"/>
  <c r="E8" i="20"/>
  <c r="F18" i="20"/>
  <c r="F17" i="20"/>
  <c r="E308" i="7"/>
  <c r="M28" i="20" a="1"/>
  <c r="M28" i="20" s="1"/>
  <c r="M20" i="20"/>
  <c r="M21" i="20" a="1"/>
  <c r="M21" i="20" s="1"/>
  <c r="K47" i="20"/>
  <c r="J47" i="20"/>
  <c r="I47" i="20"/>
  <c r="G47" i="20"/>
  <c r="F47" i="20"/>
  <c r="E47" i="20"/>
  <c r="F43" i="20"/>
  <c r="J43" i="20"/>
  <c r="J21" i="20"/>
  <c r="F21" i="20"/>
  <c r="I43" i="20"/>
  <c r="E43" i="20"/>
  <c r="I21" i="20"/>
  <c r="E21" i="20"/>
  <c r="C21" i="20"/>
  <c r="E6" i="20"/>
  <c r="F6" i="20"/>
  <c r="D21" i="20"/>
  <c r="D420" i="7"/>
  <c r="O279" i="7" a="1"/>
  <c r="O279" i="7" s="1"/>
  <c r="U184" i="7"/>
  <c r="T181" i="7"/>
  <c r="O65" i="7"/>
  <c r="N65" i="7"/>
  <c r="G28" i="20"/>
  <c r="G21" i="20"/>
  <c r="K21" i="20"/>
  <c r="K28" i="20"/>
  <c r="K43" i="20"/>
  <c r="G43" i="20"/>
  <c r="J33" i="20"/>
  <c r="I33" i="20"/>
  <c r="K33" i="20" s="1"/>
  <c r="J31" i="20"/>
  <c r="I31" i="20"/>
  <c r="K31" i="20" s="1"/>
  <c r="J28" i="20"/>
  <c r="I28" i="20"/>
  <c r="F33" i="20"/>
  <c r="E33" i="20"/>
  <c r="F31" i="20"/>
  <c r="E31" i="20"/>
  <c r="N253" i="7"/>
  <c r="M253" i="7"/>
  <c r="N278" i="7"/>
  <c r="M278" i="7"/>
  <c r="N267" i="7"/>
  <c r="M267" i="7"/>
  <c r="B366" i="7"/>
  <c r="B391" i="7"/>
  <c r="B414" i="7"/>
  <c r="D362" i="7"/>
  <c r="D349" i="7"/>
  <c r="D360" i="7"/>
  <c r="D350" i="7"/>
  <c r="I295" i="6"/>
  <c r="F295" i="6"/>
  <c r="I279" i="6"/>
  <c r="I257" i="6"/>
  <c r="I223" i="6"/>
  <c r="I219" i="6"/>
  <c r="I216" i="6"/>
  <c r="I189" i="6"/>
  <c r="I174" i="6"/>
  <c r="I170" i="6"/>
  <c r="I163" i="6"/>
  <c r="I159" i="6"/>
  <c r="I158" i="6"/>
  <c r="I153" i="6"/>
  <c r="I154" i="6"/>
  <c r="I152" i="6"/>
  <c r="I146" i="6"/>
  <c r="I143" i="6"/>
  <c r="I113" i="6"/>
  <c r="I275" i="6"/>
  <c r="I165" i="6"/>
  <c r="F279" i="6"/>
  <c r="F262" i="6"/>
  <c r="F257" i="6"/>
  <c r="F229" i="6"/>
  <c r="E229" i="6"/>
  <c r="F223" i="6"/>
  <c r="F219" i="6"/>
  <c r="F216" i="6"/>
  <c r="F189" i="6"/>
  <c r="F174" i="6"/>
  <c r="F170" i="6"/>
  <c r="F163" i="6"/>
  <c r="F166" i="6" s="1"/>
  <c r="F159" i="6"/>
  <c r="F158" i="6"/>
  <c r="F154" i="6"/>
  <c r="F153" i="6"/>
  <c r="F152" i="6"/>
  <c r="F146" i="6"/>
  <c r="F143" i="6"/>
  <c r="P181" i="7"/>
  <c r="F113" i="6"/>
  <c r="F116" i="6" s="1"/>
  <c r="F128" i="6" s="1"/>
  <c r="F83" i="6"/>
  <c r="F31" i="6"/>
  <c r="F670" i="6"/>
  <c r="F660" i="6"/>
  <c r="F657" i="6"/>
  <c r="F661" i="6" s="1"/>
  <c r="F662" i="6" s="1"/>
  <c r="F654" i="6"/>
  <c r="F275" i="6"/>
  <c r="F261" i="6"/>
  <c r="F260" i="6"/>
  <c r="F165" i="6"/>
  <c r="AG7" i="8"/>
  <c r="AG6" i="8"/>
  <c r="AH24" i="8"/>
  <c r="AD24" i="8"/>
  <c r="D232" i="7"/>
  <c r="D231" i="7"/>
  <c r="C231" i="7"/>
  <c r="E247" i="7"/>
  <c r="E248" i="7"/>
  <c r="B34" i="20" a="1"/>
  <c r="B34" i="20" s="1"/>
  <c r="B40" i="20"/>
  <c r="B39" i="20"/>
  <c r="A40" i="20"/>
  <c r="A39" i="20"/>
  <c r="B33" i="20"/>
  <c r="A33" i="20"/>
  <c r="B31" i="20"/>
  <c r="A31" i="20"/>
  <c r="B32" i="20"/>
  <c r="B30" i="20"/>
  <c r="A30" i="20"/>
  <c r="B29" i="20"/>
  <c r="A29" i="20"/>
  <c r="F28" i="20"/>
  <c r="E28" i="20"/>
  <c r="C8" i="20"/>
  <c r="C10" i="20"/>
  <c r="C11" i="20"/>
  <c r="C12" i="20"/>
  <c r="C13" i="20"/>
  <c r="C15" i="20"/>
  <c r="C16" i="20"/>
  <c r="C17" i="20"/>
  <c r="C18" i="20"/>
  <c r="C7" i="20"/>
  <c r="D6" i="20"/>
  <c r="C6" i="20"/>
  <c r="B8" i="20"/>
  <c r="B9" i="20"/>
  <c r="B10" i="20"/>
  <c r="B11" i="20"/>
  <c r="B12" i="20"/>
  <c r="B13" i="20"/>
  <c r="B14" i="20"/>
  <c r="B15" i="20"/>
  <c r="B16" i="20"/>
  <c r="B17" i="20"/>
  <c r="B18" i="20"/>
  <c r="B7" i="20"/>
  <c r="M262" i="6"/>
  <c r="M259" i="6"/>
  <c r="M255" i="6"/>
  <c r="M251" i="6"/>
  <c r="M279" i="6"/>
  <c r="M275" i="6"/>
  <c r="M261" i="6"/>
  <c r="M260" i="6"/>
  <c r="M252" i="6"/>
  <c r="N279" i="6"/>
  <c r="N257" i="6"/>
  <c r="N275" i="6"/>
  <c r="J29" i="8"/>
  <c r="G26" i="17"/>
  <c r="F46" i="17"/>
  <c r="F26" i="17"/>
  <c r="F52" i="17"/>
  <c r="F98" i="16"/>
  <c r="D98" i="16"/>
  <c r="E83" i="16"/>
  <c r="C83" i="16"/>
  <c r="B79" i="16"/>
  <c r="D81" i="16"/>
  <c r="A81" i="16"/>
  <c r="B78" i="16"/>
  <c r="A78" i="16"/>
  <c r="E50" i="16"/>
  <c r="C50" i="16"/>
  <c r="D30" i="16"/>
  <c r="F37" i="16"/>
  <c r="D37" i="16"/>
  <c r="B37" i="16"/>
  <c r="A37" i="16"/>
  <c r="F36" i="16"/>
  <c r="D36" i="16"/>
  <c r="B36" i="16"/>
  <c r="A36" i="16"/>
  <c r="A35" i="17"/>
  <c r="B35" i="17"/>
  <c r="A87" i="16"/>
  <c r="A54" i="17"/>
  <c r="B63" i="17"/>
  <c r="B54" i="17"/>
  <c r="W106" i="7"/>
  <c r="V106" i="7"/>
  <c r="V104" i="7"/>
  <c r="W97" i="7"/>
  <c r="V97" i="7"/>
  <c r="V94" i="7"/>
  <c r="W3" i="7"/>
  <c r="V3" i="7"/>
  <c r="H12" i="8"/>
  <c r="H13" i="8"/>
  <c r="P316" i="7"/>
  <c r="P317" i="7"/>
  <c r="N330" i="7"/>
  <c r="B228" i="6"/>
  <c r="A228" i="6"/>
  <c r="J228" i="6"/>
  <c r="Q84" i="7"/>
  <c r="T132" i="7"/>
  <c r="T104" i="7"/>
  <c r="T94" i="7"/>
  <c r="U134" i="7"/>
  <c r="T134" i="7"/>
  <c r="U106" i="7"/>
  <c r="T106" i="7"/>
  <c r="U97" i="7"/>
  <c r="T97" i="7"/>
  <c r="U3" i="7"/>
  <c r="T3" i="7"/>
  <c r="D284" i="6"/>
  <c r="B262" i="6"/>
  <c r="E261" i="6"/>
  <c r="D261" i="6"/>
  <c r="E260" i="6"/>
  <c r="D260" i="6"/>
  <c r="D229" i="6"/>
  <c r="B203" i="6"/>
  <c r="D49" i="6"/>
  <c r="D48" i="6"/>
  <c r="D50" i="6" s="1"/>
  <c r="D47" i="6"/>
  <c r="D2" i="6"/>
  <c r="D127" i="6"/>
  <c r="A206" i="6"/>
  <c r="A236" i="6" s="1"/>
  <c r="A58" i="17" s="1"/>
  <c r="B126" i="7"/>
  <c r="B142" i="7"/>
  <c r="B205" i="6"/>
  <c r="B235" i="6" s="1"/>
  <c r="B204" i="6"/>
  <c r="B234" i="6" s="1"/>
  <c r="A205" i="6"/>
  <c r="A235" i="6" s="1"/>
  <c r="A204" i="6"/>
  <c r="A234" i="6" s="1"/>
  <c r="B195" i="6"/>
  <c r="D132" i="7"/>
  <c r="E43" i="7"/>
  <c r="B136" i="6"/>
  <c r="Q92" i="7"/>
  <c r="K338" i="7"/>
  <c r="K337" i="7"/>
  <c r="K336" i="7"/>
  <c r="K335" i="7"/>
  <c r="E338" i="7"/>
  <c r="D18" i="20" s="1"/>
  <c r="E337" i="7"/>
  <c r="D17" i="20" s="1"/>
  <c r="E336" i="7"/>
  <c r="D336" i="7" s="1"/>
  <c r="E335" i="7"/>
  <c r="D15" i="20" s="1"/>
  <c r="E334" i="7"/>
  <c r="E333" i="7"/>
  <c r="D13" i="20" s="1"/>
  <c r="E332" i="7"/>
  <c r="D12" i="20" s="1"/>
  <c r="E331" i="7"/>
  <c r="D11" i="20" s="1"/>
  <c r="F11" i="20" s="1"/>
  <c r="E330" i="7"/>
  <c r="D10" i="20" s="1"/>
  <c r="E329" i="7"/>
  <c r="E328" i="7"/>
  <c r="D8" i="20" s="1"/>
  <c r="E327" i="7"/>
  <c r="D7" i="20" s="1"/>
  <c r="G7" i="20" s="1"/>
  <c r="P50" i="7"/>
  <c r="P32" i="7"/>
  <c r="P24" i="7"/>
  <c r="P16" i="7"/>
  <c r="P15" i="7"/>
  <c r="P23" i="7"/>
  <c r="P31" i="7"/>
  <c r="D275" i="6"/>
  <c r="B304" i="7"/>
  <c r="D304" i="7"/>
  <c r="S99" i="7"/>
  <c r="S136" i="7"/>
  <c r="M16" i="7"/>
  <c r="M17" i="7"/>
  <c r="E116" i="7"/>
  <c r="C116" i="7"/>
  <c r="F92" i="7"/>
  <c r="D92" i="7"/>
  <c r="F104" i="7"/>
  <c r="D104" i="7"/>
  <c r="N338" i="7"/>
  <c r="O338" i="7"/>
  <c r="G268" i="7"/>
  <c r="I268" i="7"/>
  <c r="J268" i="7"/>
  <c r="B253" i="6"/>
  <c r="G279" i="7"/>
  <c r="J279" i="7"/>
  <c r="I279" i="7"/>
  <c r="B268" i="7"/>
  <c r="B279" i="7"/>
  <c r="M6" i="20" l="1"/>
  <c r="D16" i="20"/>
  <c r="C418" i="7"/>
  <c r="C395" i="7"/>
  <c r="C419" i="7"/>
  <c r="B425" i="7" s="1"/>
  <c r="C396" i="7"/>
  <c r="B402" i="7" s="1"/>
  <c r="C67" i="16"/>
  <c r="D433" i="7"/>
  <c r="B433" i="7" s="1"/>
  <c r="D410" i="7"/>
  <c r="B410" i="7" s="1"/>
  <c r="D385" i="7"/>
  <c r="B385" i="7" s="1"/>
  <c r="D14" i="20"/>
  <c r="C14" i="20"/>
  <c r="E14" i="20" s="1"/>
  <c r="C9" i="20"/>
  <c r="D9" i="20"/>
  <c r="G31" i="20"/>
  <c r="B420" i="7"/>
  <c r="D397" i="7"/>
  <c r="D372" i="7"/>
  <c r="D431" i="7"/>
  <c r="B431" i="7" s="1"/>
  <c r="D408" i="7"/>
  <c r="B408" i="7" s="1"/>
  <c r="D383" i="7"/>
  <c r="B383" i="7" s="1"/>
  <c r="D421" i="7"/>
  <c r="B421" i="7" s="1"/>
  <c r="D398" i="7"/>
  <c r="D373" i="7"/>
  <c r="B422" i="7"/>
  <c r="D355" i="7"/>
  <c r="C370" i="7"/>
  <c r="C371" i="7"/>
  <c r="D356" i="7"/>
  <c r="F168" i="6"/>
  <c r="F169" i="6" s="1"/>
  <c r="F155" i="6"/>
  <c r="D93" i="6"/>
  <c r="D88" i="6"/>
  <c r="G33" i="20"/>
  <c r="F38" i="16"/>
  <c r="D38" i="16"/>
  <c r="B86" i="16"/>
  <c r="B57" i="17"/>
  <c r="B85" i="16"/>
  <c r="B56" i="17"/>
  <c r="A86" i="16"/>
  <c r="A57" i="17"/>
  <c r="A85" i="16"/>
  <c r="A56" i="17"/>
  <c r="D196" i="6"/>
  <c r="L12" i="8"/>
  <c r="C347" i="7"/>
  <c r="C348" i="7"/>
  <c r="S16" i="7"/>
  <c r="F116" i="7"/>
  <c r="G227" i="6" s="1"/>
  <c r="I227" i="6" s="1"/>
  <c r="D116" i="7"/>
  <c r="D227" i="6" s="1"/>
  <c r="F227" i="6" s="1"/>
  <c r="G16" i="20" l="1"/>
  <c r="G12" i="20"/>
  <c r="G14" i="20"/>
  <c r="G11" i="20"/>
  <c r="G15" i="20"/>
  <c r="G13" i="20"/>
  <c r="F16" i="20"/>
  <c r="F14" i="20"/>
  <c r="F15" i="20"/>
  <c r="F13" i="20"/>
  <c r="F12" i="20"/>
  <c r="F9" i="20"/>
  <c r="B397" i="7"/>
  <c r="C24" i="20"/>
  <c r="C22" i="20"/>
  <c r="C23" i="20"/>
  <c r="D23" i="20"/>
  <c r="D24" i="20"/>
  <c r="D22" i="20"/>
  <c r="B399" i="7"/>
  <c r="B398" i="7"/>
  <c r="D378" i="7"/>
  <c r="B378" i="7" s="1"/>
  <c r="D403" i="7"/>
  <c r="B403" i="7" s="1"/>
  <c r="D426" i="7"/>
  <c r="B426" i="7" s="1"/>
  <c r="D379" i="7"/>
  <c r="D404" i="7"/>
  <c r="D427" i="7"/>
  <c r="B374" i="7"/>
  <c r="B373" i="7"/>
  <c r="B377" i="7"/>
  <c r="B372" i="7"/>
  <c r="F171" i="6"/>
  <c r="F173" i="6" s="1"/>
  <c r="F175" i="6" s="1"/>
  <c r="F176" i="6" s="1"/>
  <c r="H227" i="6"/>
  <c r="E227" i="6"/>
  <c r="B169" i="6"/>
  <c r="B74" i="6"/>
  <c r="B176" i="6"/>
  <c r="B662" i="6"/>
  <c r="M145" i="7"/>
  <c r="M146" i="7"/>
  <c r="N90" i="7"/>
  <c r="N89" i="7"/>
  <c r="S90" i="7" s="1"/>
  <c r="N108" i="7"/>
  <c r="N107" i="7"/>
  <c r="N128" i="7"/>
  <c r="N127" i="7"/>
  <c r="N126" i="7"/>
  <c r="N125" i="7"/>
  <c r="S82" i="7"/>
  <c r="J260" i="6"/>
  <c r="B261" i="6"/>
  <c r="B260" i="6"/>
  <c r="F43" i="8"/>
  <c r="A43" i="8"/>
  <c r="D25" i="20" l="1"/>
  <c r="F10" i="20" s="1"/>
  <c r="C25" i="20"/>
  <c r="I24" i="20"/>
  <c r="E24" i="20"/>
  <c r="K24" i="20"/>
  <c r="G24" i="20"/>
  <c r="I23" i="20"/>
  <c r="E23" i="20"/>
  <c r="K23" i="20"/>
  <c r="G23" i="20"/>
  <c r="J23" i="20"/>
  <c r="F23" i="20"/>
  <c r="J24" i="20"/>
  <c r="F24" i="20"/>
  <c r="B379" i="7"/>
  <c r="B380" i="7"/>
  <c r="B404" i="7"/>
  <c r="B405" i="7"/>
  <c r="B427" i="7"/>
  <c r="B428" i="7"/>
  <c r="S108" i="7"/>
  <c r="C30" i="8"/>
  <c r="F33" i="7"/>
  <c r="F35" i="7"/>
  <c r="J229" i="6"/>
  <c r="G229" i="6"/>
  <c r="I229" i="6" s="1"/>
  <c r="G10" i="20" l="1"/>
  <c r="E11" i="20"/>
  <c r="G8" i="20"/>
  <c r="G9" i="20"/>
  <c r="F8" i="20"/>
  <c r="F7" i="20"/>
  <c r="E9" i="20"/>
  <c r="E7" i="20"/>
  <c r="I25" i="20"/>
  <c r="E25" i="20"/>
  <c r="G25" i="20"/>
  <c r="K25" i="20"/>
  <c r="J25" i="20"/>
  <c r="F25" i="20"/>
  <c r="B172" i="7"/>
  <c r="AD185" i="7"/>
  <c r="AD195" i="7"/>
  <c r="AD190" i="7"/>
  <c r="AD187" i="7"/>
  <c r="E19" i="20" l="1"/>
  <c r="F19" i="20"/>
  <c r="G19" i="20"/>
  <c r="D16" i="7"/>
  <c r="E3" i="19"/>
  <c r="D3" i="19"/>
  <c r="E141" i="7"/>
  <c r="E26" i="20" l="1"/>
  <c r="I26" i="20"/>
  <c r="J26" i="20"/>
  <c r="F26" i="20"/>
  <c r="G26" i="20"/>
  <c r="K26" i="20"/>
  <c r="F79" i="16"/>
  <c r="B19" i="16"/>
  <c r="B4" i="16"/>
  <c r="B5" i="16"/>
  <c r="B100" i="16"/>
  <c r="A79" i="16"/>
  <c r="A211" i="6"/>
  <c r="B87" i="16"/>
  <c r="B10" i="16"/>
  <c r="A10" i="16"/>
  <c r="E44" i="19"/>
  <c r="E11" i="16" s="1"/>
  <c r="D44" i="19"/>
  <c r="C11" i="16" s="1"/>
  <c r="D79" i="16" l="1"/>
  <c r="B232" i="6"/>
  <c r="A232" i="6"/>
  <c r="B238" i="6"/>
  <c r="A240" i="6"/>
  <c r="A238" i="6"/>
  <c r="D199" i="6"/>
  <c r="B52" i="17" l="1"/>
  <c r="B283" i="6"/>
  <c r="E192" i="7"/>
  <c r="G101" i="6" s="1"/>
  <c r="E190" i="7"/>
  <c r="E189" i="7"/>
  <c r="E188" i="7"/>
  <c r="E179" i="7"/>
  <c r="D101" i="6" s="1"/>
  <c r="E177" i="7"/>
  <c r="E176" i="7"/>
  <c r="E175" i="7"/>
  <c r="D8" i="19" s="1"/>
  <c r="E199" i="7"/>
  <c r="F199" i="7"/>
  <c r="B8" i="19"/>
  <c r="B13" i="19"/>
  <c r="M173" i="7"/>
  <c r="B164" i="6"/>
  <c r="B101" i="6"/>
  <c r="D179" i="7"/>
  <c r="B201" i="7"/>
  <c r="B202" i="7"/>
  <c r="B204" i="7"/>
  <c r="B205" i="7"/>
  <c r="B282" i="6"/>
  <c r="B281" i="6"/>
  <c r="A122" i="6"/>
  <c r="B173" i="6"/>
  <c r="B172" i="6"/>
  <c r="O210" i="7"/>
  <c r="W209" i="7"/>
  <c r="V209" i="7"/>
  <c r="U209" i="7"/>
  <c r="T209" i="7"/>
  <c r="A164" i="6"/>
  <c r="B160" i="6"/>
  <c r="M175" i="7"/>
  <c r="E26" i="19"/>
  <c r="D26" i="19"/>
  <c r="E8" i="19" l="1"/>
  <c r="G284" i="6"/>
  <c r="D13" i="19"/>
  <c r="D100" i="16"/>
  <c r="F100" i="16" l="1"/>
  <c r="A203" i="6"/>
  <c r="D303" i="7"/>
  <c r="B64" i="17"/>
  <c r="A63" i="17"/>
  <c r="A233" i="6" l="1"/>
  <c r="J275" i="6"/>
  <c r="C79" i="7"/>
  <c r="F211" i="7"/>
  <c r="F210" i="7"/>
  <c r="D211" i="7"/>
  <c r="D210" i="7"/>
  <c r="D139" i="7"/>
  <c r="D140" i="7"/>
  <c r="F140" i="7"/>
  <c r="F139" i="7"/>
  <c r="D134" i="7"/>
  <c r="D131" i="7"/>
  <c r="F134" i="7"/>
  <c r="F131" i="7"/>
  <c r="F125" i="7"/>
  <c r="F123" i="7"/>
  <c r="F122" i="7"/>
  <c r="D125" i="7"/>
  <c r="D123" i="7"/>
  <c r="D122" i="7"/>
  <c r="A84" i="16" l="1"/>
  <c r="A55" i="17"/>
  <c r="A4" i="16"/>
  <c r="E3" i="16"/>
  <c r="C3" i="16"/>
  <c r="A5" i="16"/>
  <c r="A22" i="17"/>
  <c r="B22" i="17"/>
  <c r="A19" i="16"/>
  <c r="E7" i="16"/>
  <c r="C7" i="16"/>
  <c r="A8" i="16" l="1"/>
  <c r="D338" i="7"/>
  <c r="C338" i="7"/>
  <c r="D337" i="7"/>
  <c r="C337" i="7"/>
  <c r="C336" i="7"/>
  <c r="D335" i="7"/>
  <c r="C335" i="7"/>
  <c r="D334" i="7"/>
  <c r="C334" i="7"/>
  <c r="D333" i="7"/>
  <c r="C333" i="7"/>
  <c r="C332" i="7"/>
  <c r="C331" i="7"/>
  <c r="C329" i="7"/>
  <c r="C328" i="7"/>
  <c r="B19" i="8" l="1"/>
  <c r="Q24" i="8" l="1"/>
  <c r="M24" i="8"/>
  <c r="I40" i="8"/>
  <c r="I39" i="8"/>
  <c r="I38" i="8"/>
  <c r="I37" i="8"/>
  <c r="I36" i="8"/>
  <c r="I35" i="8"/>
  <c r="I34" i="8"/>
  <c r="I33" i="8"/>
  <c r="I32" i="8"/>
  <c r="I31" i="8"/>
  <c r="I30" i="8"/>
  <c r="I29" i="8"/>
  <c r="T7" i="8" l="1"/>
  <c r="T6" i="8"/>
  <c r="P178" i="7" l="1"/>
  <c r="B154" i="6"/>
  <c r="B163" i="6"/>
  <c r="B153" i="6"/>
  <c r="B159" i="6"/>
  <c r="B152" i="6"/>
  <c r="B158" i="6"/>
  <c r="T182" i="7" l="1"/>
  <c r="U193" i="7"/>
  <c r="U189" i="7"/>
  <c r="U185" i="7"/>
  <c r="T192" i="7"/>
  <c r="T188" i="7"/>
  <c r="U192" i="7"/>
  <c r="U188" i="7"/>
  <c r="T191" i="7"/>
  <c r="T184" i="7"/>
  <c r="U195" i="7"/>
  <c r="U191" i="7"/>
  <c r="U187" i="7"/>
  <c r="T194" i="7"/>
  <c r="T186" i="7"/>
  <c r="U194" i="7"/>
  <c r="U190" i="7"/>
  <c r="U186" i="7"/>
  <c r="T193" i="7"/>
  <c r="T189" i="7"/>
  <c r="D165" i="6"/>
  <c r="P210" i="7"/>
  <c r="Q210" i="7"/>
  <c r="P209" i="7"/>
  <c r="O209" i="7"/>
  <c r="E158" i="6"/>
  <c r="T210" i="7" s="1"/>
  <c r="H158" i="6"/>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K28" i="13"/>
  <c r="L28" i="13" s="1"/>
  <c r="K27" i="13"/>
  <c r="K26" i="13"/>
  <c r="L26" i="13" s="1"/>
  <c r="K25" i="13"/>
  <c r="K24" i="13"/>
  <c r="K23" i="13"/>
  <c r="K22" i="13"/>
  <c r="L15" i="13"/>
  <c r="L16" i="13"/>
  <c r="H41" i="13"/>
  <c r="H27" i="13"/>
  <c r="H26" i="13"/>
  <c r="G41" i="13"/>
  <c r="G40" i="13"/>
  <c r="F41" i="13"/>
  <c r="F27" i="13"/>
  <c r="F26" i="13"/>
  <c r="E41" i="13"/>
  <c r="E40" i="13"/>
  <c r="B11" i="19"/>
  <c r="A11" i="19"/>
  <c r="B10" i="19"/>
  <c r="A10" i="19"/>
  <c r="E19" i="19"/>
  <c r="D19" i="19"/>
  <c r="E6" i="19"/>
  <c r="D6" i="19"/>
  <c r="F191" i="7"/>
  <c r="F178" i="7"/>
  <c r="D66" i="7"/>
  <c r="D63" i="7"/>
  <c r="D60" i="7"/>
  <c r="D58" i="7"/>
  <c r="D57" i="7"/>
  <c r="D56" i="7"/>
  <c r="D64" i="7" s="1"/>
  <c r="D47" i="7"/>
  <c r="D9" i="6" s="1"/>
  <c r="D44" i="7"/>
  <c r="D8" i="6" s="1"/>
  <c r="D42" i="7"/>
  <c r="D41" i="7"/>
  <c r="D40" i="7"/>
  <c r="F50" i="7"/>
  <c r="F47" i="7"/>
  <c r="F44" i="7"/>
  <c r="F42" i="7"/>
  <c r="F41" i="7"/>
  <c r="F40" i="7"/>
  <c r="F63" i="7"/>
  <c r="F60" i="7"/>
  <c r="F58" i="7"/>
  <c r="F57" i="7"/>
  <c r="F56" i="7"/>
  <c r="F65" i="7" s="1"/>
  <c r="F66" i="7" s="1"/>
  <c r="B96" i="6"/>
  <c r="U210" i="7" l="1"/>
  <c r="W210" i="7" s="1"/>
  <c r="F49" i="7"/>
  <c r="F43" i="7"/>
  <c r="D49" i="7"/>
  <c r="D43" i="7"/>
  <c r="V210" i="7"/>
  <c r="R210" i="7"/>
  <c r="D61" i="7"/>
  <c r="L22" i="13"/>
  <c r="L27" i="13"/>
  <c r="L29" i="13"/>
  <c r="L30" i="13"/>
  <c r="L23" i="13"/>
  <c r="L31" i="13"/>
  <c r="L24" i="13"/>
  <c r="L32" i="13"/>
  <c r="L25" i="13"/>
  <c r="L33" i="13"/>
  <c r="F45" i="7"/>
  <c r="F48" i="7"/>
  <c r="D48" i="7"/>
  <c r="D10" i="6" s="1"/>
  <c r="D45" i="7"/>
  <c r="D65" i="7"/>
  <c r="F61" i="7"/>
  <c r="F64" i="7"/>
  <c r="C7" i="17"/>
  <c r="C6" i="17"/>
  <c r="G2" i="6"/>
  <c r="F14" i="13"/>
  <c r="E14" i="13"/>
  <c r="G21" i="13"/>
  <c r="E21" i="13"/>
  <c r="C52" i="16"/>
  <c r="A51" i="16"/>
  <c r="A50" i="16"/>
  <c r="A49" i="16"/>
  <c r="A46" i="16"/>
  <c r="A45" i="16"/>
  <c r="A44" i="16"/>
  <c r="A43" i="16"/>
  <c r="B52" i="16"/>
  <c r="B51" i="16"/>
  <c r="B50" i="16"/>
  <c r="B46" i="16"/>
  <c r="B45" i="16"/>
  <c r="B44" i="16"/>
  <c r="B43" i="16"/>
  <c r="J15" i="16"/>
  <c r="I15" i="16"/>
  <c r="B98" i="16"/>
  <c r="A98" i="16"/>
  <c r="E42" i="16"/>
  <c r="E64" i="16"/>
  <c r="E74" i="16"/>
  <c r="E89" i="16"/>
  <c r="C89" i="16"/>
  <c r="C74" i="16"/>
  <c r="B76" i="16" s="1"/>
  <c r="C64" i="16"/>
  <c r="C42" i="16"/>
  <c r="Y3" i="7"/>
  <c r="X3" i="7"/>
  <c r="K16" i="13"/>
  <c r="K15" i="13"/>
  <c r="G29" i="13"/>
  <c r="E29" i="13"/>
  <c r="A52" i="16"/>
  <c r="D7" i="6" l="1"/>
  <c r="M28" i="13"/>
  <c r="M29" i="13"/>
  <c r="D50" i="7"/>
  <c r="D11" i="6" s="1"/>
  <c r="M27" i="13"/>
  <c r="M26" i="13"/>
  <c r="M25" i="13"/>
  <c r="M24" i="13"/>
  <c r="M22" i="13"/>
  <c r="M23" i="13"/>
  <c r="B34" i="16" l="1"/>
  <c r="A34" i="16"/>
  <c r="B33" i="16"/>
  <c r="A33" i="16"/>
  <c r="B31" i="16"/>
  <c r="A31" i="16"/>
  <c r="B29" i="16"/>
  <c r="A29" i="16"/>
  <c r="B28" i="16"/>
  <c r="A28" i="16"/>
  <c r="F30" i="16"/>
  <c r="E27" i="16"/>
  <c r="C27" i="16"/>
  <c r="J31" i="6" l="1"/>
  <c r="D85" i="7"/>
  <c r="J13" i="6"/>
  <c r="S83" i="7"/>
  <c r="S91" i="7"/>
  <c r="S116" i="7"/>
  <c r="S125" i="7"/>
  <c r="S135" i="7"/>
  <c r="S145" i="7"/>
  <c r="S144" i="7"/>
  <c r="D326" i="7"/>
  <c r="O309" i="7"/>
  <c r="D309" i="7"/>
  <c r="D299" i="7"/>
  <c r="D292" i="7"/>
  <c r="D288" i="7"/>
  <c r="D278" i="7"/>
  <c r="D267" i="7"/>
  <c r="D260" i="7"/>
  <c r="D253" i="7"/>
  <c r="D250" i="7"/>
  <c r="D227" i="7"/>
  <c r="R209" i="7"/>
  <c r="E207" i="7"/>
  <c r="F203" i="7"/>
  <c r="E184" i="7"/>
  <c r="Q183" i="7"/>
  <c r="F171" i="7"/>
  <c r="E156" i="7"/>
  <c r="E150" i="7"/>
  <c r="E145" i="7"/>
  <c r="R143" i="7"/>
  <c r="E136" i="7"/>
  <c r="R134" i="7"/>
  <c r="E128" i="7"/>
  <c r="R124" i="7"/>
  <c r="E119" i="7"/>
  <c r="R115" i="7"/>
  <c r="Z106" i="7"/>
  <c r="Y106" i="7"/>
  <c r="R106" i="7"/>
  <c r="E107" i="7"/>
  <c r="Z97" i="7"/>
  <c r="Y97" i="7"/>
  <c r="R97" i="7"/>
  <c r="E95" i="7"/>
  <c r="Z88" i="7"/>
  <c r="Y88" i="7"/>
  <c r="R88" i="7"/>
  <c r="E83" i="7"/>
  <c r="Z80" i="7"/>
  <c r="Y80" i="7"/>
  <c r="R80" i="7"/>
  <c r="E76" i="7"/>
  <c r="O55" i="7"/>
  <c r="E53" i="7"/>
  <c r="E37" i="7"/>
  <c r="R37" i="7"/>
  <c r="E31" i="7"/>
  <c r="R30" i="7"/>
  <c r="E24" i="7"/>
  <c r="R22" i="7"/>
  <c r="R14" i="7"/>
  <c r="Z3" i="7"/>
  <c r="R3" i="7"/>
  <c r="N3" i="7"/>
  <c r="B343" i="7"/>
  <c r="C326" i="7"/>
  <c r="N309" i="7"/>
  <c r="C309" i="7"/>
  <c r="C299" i="7"/>
  <c r="C292" i="7"/>
  <c r="C288" i="7"/>
  <c r="C278" i="7"/>
  <c r="C267" i="7"/>
  <c r="C260" i="7"/>
  <c r="C253" i="7"/>
  <c r="C250" i="7"/>
  <c r="C227" i="7"/>
  <c r="Q209" i="7"/>
  <c r="C207" i="7"/>
  <c r="E203" i="7"/>
  <c r="F184" i="7"/>
  <c r="P183" i="7"/>
  <c r="E171" i="7"/>
  <c r="D156" i="7"/>
  <c r="D150" i="7"/>
  <c r="D145" i="7"/>
  <c r="Q143" i="7"/>
  <c r="C136" i="7"/>
  <c r="Q134" i="7"/>
  <c r="C128" i="7"/>
  <c r="Q124" i="7"/>
  <c r="C119" i="7"/>
  <c r="Q115" i="7"/>
  <c r="X106" i="7"/>
  <c r="Q106" i="7"/>
  <c r="C107" i="7"/>
  <c r="X97" i="7"/>
  <c r="Q97" i="7"/>
  <c r="C95" i="7"/>
  <c r="X88" i="7"/>
  <c r="Q88" i="7"/>
  <c r="C83" i="7"/>
  <c r="X80" i="7"/>
  <c r="Q80" i="7"/>
  <c r="C76" i="7"/>
  <c r="N55" i="7"/>
  <c r="C53" i="7"/>
  <c r="C37" i="7"/>
  <c r="Q37" i="7"/>
  <c r="C31" i="7"/>
  <c r="Q30" i="7"/>
  <c r="C24" i="7"/>
  <c r="Q22" i="7"/>
  <c r="Q14" i="7"/>
  <c r="B21" i="7"/>
  <c r="H113" i="6"/>
  <c r="E113" i="6"/>
  <c r="E116" i="6" s="1"/>
  <c r="H163" i="6"/>
  <c r="G127" i="6"/>
  <c r="G199" i="6"/>
  <c r="B207" i="6"/>
  <c r="A207" i="6"/>
  <c r="B211" i="6"/>
  <c r="A241" i="6"/>
  <c r="B210" i="6"/>
  <c r="B209" i="6"/>
  <c r="A209" i="6"/>
  <c r="B206" i="6"/>
  <c r="A196" i="6"/>
  <c r="A195" i="6"/>
  <c r="B196" i="6"/>
  <c r="H165" i="6"/>
  <c r="G165" i="6"/>
  <c r="E165" i="6"/>
  <c r="A160" i="6"/>
  <c r="B122" i="6"/>
  <c r="F322" i="7"/>
  <c r="H116" i="6" l="1"/>
  <c r="I116" i="6"/>
  <c r="I128" i="6" s="1"/>
  <c r="H166" i="6"/>
  <c r="I166" i="6"/>
  <c r="B236" i="6"/>
  <c r="B58" i="17" s="1"/>
  <c r="B241" i="6"/>
  <c r="B240" i="6"/>
  <c r="A239" i="6"/>
  <c r="A60" i="17" s="1"/>
  <c r="B233" i="6"/>
  <c r="B239" i="6"/>
  <c r="B60" i="17" s="1"/>
  <c r="A237" i="6"/>
  <c r="A59" i="17" s="1"/>
  <c r="B237" i="6"/>
  <c r="B59" i="17" s="1"/>
  <c r="U212" i="7"/>
  <c r="W212" i="7" s="1"/>
  <c r="E169" i="7"/>
  <c r="Q181" i="7"/>
  <c r="G93" i="6" s="1"/>
  <c r="F169" i="7"/>
  <c r="G66" i="6"/>
  <c r="G47" i="6"/>
  <c r="G49" i="6"/>
  <c r="D91" i="7"/>
  <c r="D90" i="7"/>
  <c r="D89" i="7"/>
  <c r="D88" i="7"/>
  <c r="D87" i="7"/>
  <c r="D86" i="7"/>
  <c r="D93" i="7"/>
  <c r="D105" i="7"/>
  <c r="D103" i="7"/>
  <c r="D102" i="7"/>
  <c r="D101" i="7"/>
  <c r="D100" i="7"/>
  <c r="D99" i="7"/>
  <c r="D98" i="7"/>
  <c r="D97" i="7"/>
  <c r="F105" i="7"/>
  <c r="F103" i="7"/>
  <c r="F102" i="7"/>
  <c r="F101" i="7"/>
  <c r="F100" i="7"/>
  <c r="F99" i="7"/>
  <c r="F98" i="7"/>
  <c r="F97" i="7"/>
  <c r="F93" i="7"/>
  <c r="F91" i="7"/>
  <c r="F90" i="7"/>
  <c r="F89" i="7"/>
  <c r="F88" i="7"/>
  <c r="F87" i="7"/>
  <c r="F86" i="7"/>
  <c r="F85" i="7"/>
  <c r="A124" i="6"/>
  <c r="B124" i="6"/>
  <c r="V190" i="7"/>
  <c r="X190" i="7"/>
  <c r="Z190" i="7"/>
  <c r="T190" i="7" s="1"/>
  <c r="AB190" i="7"/>
  <c r="S184" i="7"/>
  <c r="B99" i="16"/>
  <c r="A283" i="6"/>
  <c r="B90" i="6"/>
  <c r="B89" i="6"/>
  <c r="B95" i="6"/>
  <c r="B98" i="6"/>
  <c r="B99" i="6"/>
  <c r="B114" i="6"/>
  <c r="A114" i="6"/>
  <c r="A90" i="6"/>
  <c r="A89" i="6"/>
  <c r="A99" i="6"/>
  <c r="A98" i="6"/>
  <c r="A95" i="6"/>
  <c r="S194" i="7"/>
  <c r="S193" i="7"/>
  <c r="S192" i="7"/>
  <c r="S188" i="7"/>
  <c r="S195" i="7"/>
  <c r="S187" i="7"/>
  <c r="S186" i="7"/>
  <c r="S191" i="7"/>
  <c r="S190" i="7"/>
  <c r="S185" i="7"/>
  <c r="S189" i="7"/>
  <c r="AB195" i="7"/>
  <c r="AB187" i="7"/>
  <c r="Z195" i="7"/>
  <c r="T195" i="7" s="1"/>
  <c r="Z187" i="7"/>
  <c r="T187" i="7" s="1"/>
  <c r="X195" i="7"/>
  <c r="X187" i="7"/>
  <c r="V195" i="7"/>
  <c r="V187" i="7"/>
  <c r="AB185" i="7"/>
  <c r="Z185" i="7"/>
  <c r="T185" i="7" s="1"/>
  <c r="X185" i="7"/>
  <c r="V185" i="7"/>
  <c r="P171" i="7"/>
  <c r="P169" i="7"/>
  <c r="R3" i="9"/>
  <c r="R2" i="9"/>
  <c r="D66" i="6"/>
  <c r="F132" i="7"/>
  <c r="G7" i="6" s="1"/>
  <c r="F24" i="17" l="1"/>
  <c r="I66" i="6"/>
  <c r="H66" i="6"/>
  <c r="F66" i="6"/>
  <c r="E66" i="6"/>
  <c r="G88" i="6"/>
  <c r="A99" i="16"/>
  <c r="B48" i="16"/>
  <c r="B47" i="16"/>
  <c r="A48" i="16"/>
  <c r="A47" i="16"/>
  <c r="B55" i="17"/>
  <c r="B84" i="16"/>
  <c r="F117" i="7"/>
  <c r="F115" i="7"/>
  <c r="F114" i="7"/>
  <c r="F113" i="7"/>
  <c r="F111" i="7"/>
  <c r="F109" i="7"/>
  <c r="E194" i="7"/>
  <c r="D220" i="6" s="1"/>
  <c r="B196" i="7"/>
  <c r="F110" i="7"/>
  <c r="G30" i="6" s="1"/>
  <c r="P190" i="7"/>
  <c r="G1" i="6"/>
  <c r="D9" i="19"/>
  <c r="D1" i="6"/>
  <c r="A27" i="17"/>
  <c r="B28" i="17"/>
  <c r="A28" i="17"/>
  <c r="B27" i="17"/>
  <c r="F112" i="7"/>
  <c r="A53" i="16"/>
  <c r="B53" i="16"/>
  <c r="B42" i="13"/>
  <c r="D178" i="7"/>
  <c r="D111" i="7"/>
  <c r="D112" i="7"/>
  <c r="D113" i="7"/>
  <c r="D109" i="7"/>
  <c r="D117" i="7"/>
  <c r="D110" i="7"/>
  <c r="D115" i="7"/>
  <c r="D114" i="7"/>
  <c r="T180" i="7"/>
  <c r="P191" i="7"/>
  <c r="D99" i="6" s="1"/>
  <c r="B49" i="7"/>
  <c r="B65" i="7"/>
  <c r="B362" i="7"/>
  <c r="B360" i="7"/>
  <c r="B357" i="7"/>
  <c r="B356" i="7"/>
  <c r="B351" i="7"/>
  <c r="B350" i="7"/>
  <c r="I339" i="7"/>
  <c r="I338" i="7" s="1"/>
  <c r="J338" i="7" s="1"/>
  <c r="B338" i="7"/>
  <c r="B337" i="7"/>
  <c r="B336" i="7"/>
  <c r="B335" i="7"/>
  <c r="B334" i="7"/>
  <c r="B333" i="7"/>
  <c r="D332" i="7"/>
  <c r="B332" i="7"/>
  <c r="D331" i="7"/>
  <c r="B331" i="7"/>
  <c r="C330" i="7"/>
  <c r="B330" i="7"/>
  <c r="D329" i="7"/>
  <c r="B329" i="7"/>
  <c r="D328" i="7"/>
  <c r="B328" i="7"/>
  <c r="B327" i="7"/>
  <c r="E326" i="7"/>
  <c r="D322" i="7"/>
  <c r="C322" i="7"/>
  <c r="E294" i="7"/>
  <c r="C9" i="8" s="1"/>
  <c r="B294" i="7"/>
  <c r="E293" i="7"/>
  <c r="C10" i="8" s="1"/>
  <c r="B293" i="7"/>
  <c r="E284" i="7"/>
  <c r="B284" i="7" s="1"/>
  <c r="E283" i="7"/>
  <c r="B283" i="7" s="1"/>
  <c r="E282" i="7"/>
  <c r="B282" i="7" s="1"/>
  <c r="E281" i="7"/>
  <c r="B281" i="7" s="1"/>
  <c r="E280" i="7"/>
  <c r="E274" i="7"/>
  <c r="E273" i="7"/>
  <c r="B273" i="7" s="1"/>
  <c r="E272" i="7"/>
  <c r="B272" i="7" s="1"/>
  <c r="E271" i="7"/>
  <c r="B271" i="7" s="1"/>
  <c r="E270" i="7"/>
  <c r="B270" i="7" s="1"/>
  <c r="E269" i="7"/>
  <c r="D262" i="7"/>
  <c r="C262" i="7"/>
  <c r="E212" i="7"/>
  <c r="C212" i="7"/>
  <c r="E209" i="7"/>
  <c r="C209" i="7"/>
  <c r="D191" i="7"/>
  <c r="D189" i="7"/>
  <c r="B185" i="7"/>
  <c r="M174" i="7"/>
  <c r="D176" i="7"/>
  <c r="E162" i="7"/>
  <c r="D162" i="7"/>
  <c r="E153" i="7"/>
  <c r="D153" i="7"/>
  <c r="C141" i="7"/>
  <c r="E138" i="7"/>
  <c r="C138" i="7"/>
  <c r="C133" i="7"/>
  <c r="E130" i="7"/>
  <c r="C130" i="7"/>
  <c r="E124" i="7"/>
  <c r="C124" i="7"/>
  <c r="E121" i="7"/>
  <c r="C121" i="7"/>
  <c r="E117" i="7"/>
  <c r="C117" i="7"/>
  <c r="E115" i="7"/>
  <c r="C115" i="7"/>
  <c r="E114" i="7"/>
  <c r="C114" i="7"/>
  <c r="E113" i="7"/>
  <c r="C113" i="7"/>
  <c r="E112" i="7"/>
  <c r="C112" i="7"/>
  <c r="E111" i="7"/>
  <c r="C111" i="7"/>
  <c r="E110" i="7"/>
  <c r="C110" i="7"/>
  <c r="E109" i="7"/>
  <c r="C109" i="7"/>
  <c r="E79" i="7"/>
  <c r="F79" i="7" s="1"/>
  <c r="G17" i="6" s="1"/>
  <c r="D79" i="7"/>
  <c r="D17" i="6" s="1"/>
  <c r="E59" i="7"/>
  <c r="C59" i="7"/>
  <c r="E55" i="7"/>
  <c r="E96" i="7" s="1"/>
  <c r="C55" i="7"/>
  <c r="C96" i="7" s="1"/>
  <c r="E70" i="7"/>
  <c r="C70" i="7"/>
  <c r="C17" i="7"/>
  <c r="B301" i="7" s="1"/>
  <c r="B280" i="7" l="1"/>
  <c r="B269" i="7"/>
  <c r="O268" i="7" a="1"/>
  <c r="O268" i="7" s="1"/>
  <c r="B232" i="7"/>
  <c r="B233" i="7"/>
  <c r="G232" i="6"/>
  <c r="G37" i="6"/>
  <c r="H197" i="6"/>
  <c r="K334" i="7"/>
  <c r="K333" i="7"/>
  <c r="U138" i="7"/>
  <c r="H187" i="6" s="1"/>
  <c r="I187" i="6" s="1"/>
  <c r="T138" i="7"/>
  <c r="E187" i="6" s="1"/>
  <c r="F187" i="6" s="1"/>
  <c r="D10" i="19"/>
  <c r="D98" i="6"/>
  <c r="K332" i="7"/>
  <c r="K331" i="7"/>
  <c r="K330" i="7"/>
  <c r="K327" i="7"/>
  <c r="K329" i="7"/>
  <c r="K328" i="7"/>
  <c r="D330" i="7"/>
  <c r="M73" i="7"/>
  <c r="D327" i="7"/>
  <c r="O318" i="7" s="1"/>
  <c r="K13" i="8" s="1"/>
  <c r="C327" i="7"/>
  <c r="D37" i="6"/>
  <c r="B274" i="7"/>
  <c r="F256" i="7"/>
  <c r="B256" i="7"/>
  <c r="J253" i="6"/>
  <c r="C6" i="8"/>
  <c r="M203" i="7"/>
  <c r="M104" i="7"/>
  <c r="L20" i="7"/>
  <c r="M150" i="7"/>
  <c r="M94" i="7"/>
  <c r="M68" i="7"/>
  <c r="L13" i="7"/>
  <c r="M132" i="7"/>
  <c r="M123" i="7"/>
  <c r="M79" i="7"/>
  <c r="L36" i="7"/>
  <c r="M208" i="7"/>
  <c r="M141" i="7"/>
  <c r="M113" i="7"/>
  <c r="M87" i="7"/>
  <c r="L28" i="7"/>
  <c r="E7" i="19"/>
  <c r="G220" i="6"/>
  <c r="D7" i="19"/>
  <c r="B216" i="7"/>
  <c r="E191" i="7"/>
  <c r="G97" i="6" s="1"/>
  <c r="D232" i="6"/>
  <c r="E197" i="6"/>
  <c r="E178" i="7"/>
  <c r="D97" i="6" s="1"/>
  <c r="E13" i="19"/>
  <c r="D70" i="6"/>
  <c r="J278" i="6"/>
  <c r="B157" i="6"/>
  <c r="B182" i="7"/>
  <c r="L206" i="7"/>
  <c r="D72" i="6"/>
  <c r="E9" i="19"/>
  <c r="O58" i="7"/>
  <c r="N58" i="7"/>
  <c r="O56" i="7"/>
  <c r="N56" i="7"/>
  <c r="N6" i="7"/>
  <c r="R6" i="7"/>
  <c r="B222" i="7"/>
  <c r="B199" i="6" s="1"/>
  <c r="D30" i="6"/>
  <c r="P194" i="7"/>
  <c r="D283" i="6" s="1"/>
  <c r="P192" i="7"/>
  <c r="D211" i="6" s="1"/>
  <c r="P189" i="7"/>
  <c r="P195" i="7"/>
  <c r="D164" i="6" s="1"/>
  <c r="D161" i="6" s="1"/>
  <c r="P193" i="7"/>
  <c r="D11" i="19" s="1"/>
  <c r="Q193" i="7"/>
  <c r="E11" i="19" s="1"/>
  <c r="Q192" i="7"/>
  <c r="G211" i="6" s="1"/>
  <c r="Q194" i="7"/>
  <c r="Q195" i="7"/>
  <c r="Q189" i="7"/>
  <c r="E48" i="16" s="1"/>
  <c r="Q190" i="7"/>
  <c r="E10" i="19" s="1"/>
  <c r="Q191" i="7"/>
  <c r="B217" i="7"/>
  <c r="I333" i="7"/>
  <c r="J333" i="7" s="1"/>
  <c r="I328" i="7"/>
  <c r="J328" i="7" s="1"/>
  <c r="I330" i="7"/>
  <c r="J330" i="7" s="1"/>
  <c r="I332" i="7"/>
  <c r="J332" i="7" s="1"/>
  <c r="I337" i="7"/>
  <c r="J337" i="7" s="1"/>
  <c r="I329" i="7"/>
  <c r="J329" i="7" s="1"/>
  <c r="I334" i="7"/>
  <c r="J334" i="7" s="1"/>
  <c r="I336" i="7"/>
  <c r="J336" i="7" s="1"/>
  <c r="D212" i="7"/>
  <c r="F212" i="7"/>
  <c r="D59" i="7"/>
  <c r="D6" i="6" s="1"/>
  <c r="D124" i="7"/>
  <c r="D15" i="6" s="1"/>
  <c r="D204" i="6" s="1"/>
  <c r="F141" i="7"/>
  <c r="F124" i="7"/>
  <c r="E133" i="7"/>
  <c r="F59" i="7"/>
  <c r="D141" i="7"/>
  <c r="D20" i="6" s="1"/>
  <c r="D205" i="6" s="1"/>
  <c r="F133" i="7"/>
  <c r="G16" i="6" s="1"/>
  <c r="I327" i="7"/>
  <c r="J327" i="7" s="1"/>
  <c r="I331" i="7"/>
  <c r="J331" i="7" s="1"/>
  <c r="I335" i="7"/>
  <c r="J335" i="7" s="1"/>
  <c r="H232" i="6" l="1"/>
  <c r="I232" i="6"/>
  <c r="D221" i="6"/>
  <c r="F221" i="6"/>
  <c r="F224" i="6" s="1"/>
  <c r="E221" i="6"/>
  <c r="G221" i="6"/>
  <c r="I221" i="6"/>
  <c r="H221" i="6"/>
  <c r="E232" i="6"/>
  <c r="F232" i="6"/>
  <c r="F45" i="17"/>
  <c r="F54" i="17"/>
  <c r="G197" i="6"/>
  <c r="H198" i="6"/>
  <c r="E54" i="17"/>
  <c r="F87" i="16"/>
  <c r="C339" i="7" a="1"/>
  <c r="C339" i="7" s="1"/>
  <c r="N318" i="7"/>
  <c r="D339" i="7" a="1"/>
  <c r="D339" i="7" s="1"/>
  <c r="C48" i="16"/>
  <c r="D90" i="6"/>
  <c r="G20" i="6"/>
  <c r="G205" i="6" s="1"/>
  <c r="D197" i="6"/>
  <c r="D87" i="16"/>
  <c r="G42" i="13"/>
  <c r="F99" i="16"/>
  <c r="E42" i="13"/>
  <c r="F28" i="17"/>
  <c r="G28" i="17" s="1"/>
  <c r="G164" i="6"/>
  <c r="G161" i="6" s="1"/>
  <c r="N315" i="7"/>
  <c r="O315" i="7"/>
  <c r="O319" i="7" s="1"/>
  <c r="C53" i="16"/>
  <c r="D99" i="16"/>
  <c r="G99" i="6"/>
  <c r="G15" i="6"/>
  <c r="G204" i="6" s="1"/>
  <c r="G283" i="6"/>
  <c r="G98" i="6"/>
  <c r="D133" i="7"/>
  <c r="D16" i="6" s="1"/>
  <c r="G90" i="6"/>
  <c r="D67" i="7"/>
  <c r="D72" i="7" s="1"/>
  <c r="P318" i="7" l="1"/>
  <c r="J13" i="8"/>
  <c r="L13" i="8" s="1"/>
  <c r="N319" i="7"/>
  <c r="E198" i="6"/>
  <c r="E28" i="17"/>
  <c r="E52" i="16"/>
  <c r="C29" i="7"/>
  <c r="N39" i="7"/>
  <c r="P38" i="7"/>
  <c r="S38" i="7" s="1"/>
  <c r="D166" i="6" l="1"/>
  <c r="O212" i="7" s="1"/>
  <c r="P39" i="7"/>
  <c r="S39" i="7" s="1"/>
  <c r="N40" i="7"/>
  <c r="I26" i="8"/>
  <c r="Q212" i="7" l="1"/>
  <c r="P40" i="7"/>
  <c r="S40" i="7" s="1"/>
  <c r="N41" i="7"/>
  <c r="P41" i="7" l="1"/>
  <c r="S41" i="7" s="1"/>
  <c r="N42" i="7"/>
  <c r="H9" i="8"/>
  <c r="H8" i="8"/>
  <c r="H7" i="8"/>
  <c r="H6" i="8"/>
  <c r="P42" i="7" l="1"/>
  <c r="S42" i="7" s="1"/>
  <c r="N43" i="7"/>
  <c r="O329" i="7"/>
  <c r="N329" i="7"/>
  <c r="P43" i="7" l="1"/>
  <c r="S43" i="7" s="1"/>
  <c r="N44" i="7"/>
  <c r="B49" i="6"/>
  <c r="B47" i="6"/>
  <c r="G9" i="6"/>
  <c r="G8" i="6"/>
  <c r="G11" i="6"/>
  <c r="D43" i="6"/>
  <c r="F28" i="7"/>
  <c r="D36" i="20" s="1"/>
  <c r="F27" i="7"/>
  <c r="D35" i="20" s="1"/>
  <c r="D28" i="7"/>
  <c r="C36" i="20" s="1"/>
  <c r="D27" i="7"/>
  <c r="C35" i="20" s="1"/>
  <c r="F23" i="17"/>
  <c r="E39" i="7"/>
  <c r="E84" i="7" s="1"/>
  <c r="C39" i="7"/>
  <c r="C84" i="7" s="1"/>
  <c r="D33" i="7"/>
  <c r="C43" i="7"/>
  <c r="G10" i="6" l="1"/>
  <c r="P44" i="7"/>
  <c r="S44" i="7" s="1"/>
  <c r="G19" i="6"/>
  <c r="G6" i="6" l="1"/>
  <c r="F51" i="7"/>
  <c r="F71" i="7" s="1"/>
  <c r="D51" i="7" l="1"/>
  <c r="D71" i="7" s="1"/>
  <c r="D73" i="7" s="1"/>
  <c r="D3" i="17"/>
  <c r="G3" i="17"/>
  <c r="I3" i="16"/>
  <c r="I5" i="16"/>
  <c r="D12" i="6" l="1"/>
  <c r="E83" i="6" l="1"/>
  <c r="H83" i="6"/>
  <c r="G282" i="6"/>
  <c r="G281" i="6"/>
  <c r="D84" i="6" s="1"/>
  <c r="D208" i="6" s="1"/>
  <c r="D282" i="6"/>
  <c r="D281" i="6"/>
  <c r="H86" i="6" l="1"/>
  <c r="H123" i="6" s="1"/>
  <c r="I83" i="6"/>
  <c r="D100" i="6"/>
  <c r="D180" i="6" s="1"/>
  <c r="I123" i="6" l="1"/>
  <c r="H25" i="13"/>
  <c r="I86" i="6"/>
  <c r="G100" i="6"/>
  <c r="G180" i="6" s="1"/>
  <c r="G84" i="6"/>
  <c r="G208" i="6" s="1"/>
  <c r="G86" i="6" l="1"/>
  <c r="G122" i="6"/>
  <c r="C2" i="18"/>
  <c r="G3" i="13"/>
  <c r="G209" i="6" l="1"/>
  <c r="G123" i="6"/>
  <c r="G25" i="13"/>
  <c r="E46" i="16"/>
  <c r="D29" i="8"/>
  <c r="N312" i="7"/>
  <c r="J8" i="8" s="1"/>
  <c r="E29" i="8" l="1"/>
  <c r="O312" i="7"/>
  <c r="D35" i="7"/>
  <c r="P312" i="7" l="1"/>
  <c r="K8" i="8"/>
  <c r="L8" i="8" s="1"/>
  <c r="S15" i="7" l="1"/>
  <c r="M51" i="7"/>
  <c r="S51" i="7" s="1"/>
  <c r="M50" i="7"/>
  <c r="S31" i="7"/>
  <c r="M32" i="7"/>
  <c r="M33" i="7"/>
  <c r="S23" i="7"/>
  <c r="M25" i="7"/>
  <c r="M24" i="7"/>
  <c r="S50" i="7" l="1"/>
  <c r="S24" i="7"/>
  <c r="S32" i="7"/>
  <c r="B355" i="7"/>
  <c r="S33" i="7"/>
  <c r="S25" i="7"/>
  <c r="S17" i="7"/>
  <c r="G275" i="6"/>
  <c r="B354" i="7" l="1"/>
  <c r="B349" i="7"/>
  <c r="M154" i="7" l="1"/>
  <c r="M155" i="7"/>
  <c r="M156" i="7"/>
  <c r="M157" i="7"/>
  <c r="M158" i="7"/>
  <c r="D174" i="7" l="1"/>
  <c r="E174" i="7" s="1"/>
  <c r="D187" i="7"/>
  <c r="E187" i="7" s="1"/>
  <c r="A94" i="16"/>
  <c r="B94" i="16"/>
  <c r="A93" i="16"/>
  <c r="B93" i="16"/>
  <c r="C94" i="16"/>
  <c r="C93" i="16"/>
  <c r="E94" i="16"/>
  <c r="E93" i="16"/>
  <c r="D257" i="7" l="1"/>
  <c r="D94" i="6"/>
  <c r="C257" i="7"/>
  <c r="G94" i="6"/>
  <c r="P170" i="7"/>
  <c r="H279" i="6"/>
  <c r="E279" i="6"/>
  <c r="F40" i="13" s="1"/>
  <c r="H40" i="13" l="1"/>
  <c r="G96" i="6"/>
  <c r="P186" i="7"/>
  <c r="D114" i="6" s="1"/>
  <c r="P184" i="7"/>
  <c r="P185" i="7"/>
  <c r="D95" i="6" s="1"/>
  <c r="P187" i="7"/>
  <c r="D160" i="6" s="1"/>
  <c r="P188" i="7"/>
  <c r="D210" i="6" s="1"/>
  <c r="Q187" i="7"/>
  <c r="Q188" i="7"/>
  <c r="G210" i="6" s="1"/>
  <c r="Q185" i="7"/>
  <c r="Q186" i="7"/>
  <c r="Q184" i="7"/>
  <c r="C47" i="16" l="1"/>
  <c r="D89" i="6"/>
  <c r="E47" i="16"/>
  <c r="G89" i="6"/>
  <c r="G91" i="6" s="1"/>
  <c r="F27" i="17"/>
  <c r="G27" i="17" s="1"/>
  <c r="G114" i="6"/>
  <c r="G160" i="6"/>
  <c r="G95" i="6"/>
  <c r="M196" i="7"/>
  <c r="E70" i="16"/>
  <c r="C70" i="16"/>
  <c r="A92" i="16"/>
  <c r="A91" i="16"/>
  <c r="A90" i="16"/>
  <c r="B90" i="16"/>
  <c r="B92" i="16"/>
  <c r="B91" i="16"/>
  <c r="A72" i="16"/>
  <c r="A71" i="16"/>
  <c r="A59" i="16"/>
  <c r="A58" i="16"/>
  <c r="D91" i="6" l="1"/>
  <c r="D124" i="6" s="1"/>
  <c r="G124" i="6"/>
  <c r="G102" i="6"/>
  <c r="D96" i="6"/>
  <c r="D102" i="6" s="1"/>
  <c r="I30" i="20" s="1"/>
  <c r="O211" i="7"/>
  <c r="Q211" i="7" s="1"/>
  <c r="Q213" i="7" s="1"/>
  <c r="D168" i="6"/>
  <c r="G26" i="13"/>
  <c r="E27" i="17"/>
  <c r="E52" i="17"/>
  <c r="A68" i="17"/>
  <c r="B68" i="17"/>
  <c r="A40" i="17"/>
  <c r="A7" i="17"/>
  <c r="A6" i="17"/>
  <c r="A30" i="17"/>
  <c r="F30" i="20" l="1"/>
  <c r="J30" i="20"/>
  <c r="K30" i="20" s="1"/>
  <c r="D169" i="6"/>
  <c r="D171" i="6" s="1"/>
  <c r="D173" i="6" s="1"/>
  <c r="D175" i="6" s="1"/>
  <c r="D139" i="6"/>
  <c r="E139" i="6" s="1"/>
  <c r="E30" i="20"/>
  <c r="E26" i="13"/>
  <c r="G139" i="6"/>
  <c r="H139" i="6" s="1"/>
  <c r="D172" i="6"/>
  <c r="O213" i="7"/>
  <c r="G27" i="13"/>
  <c r="B16" i="17"/>
  <c r="A52" i="17"/>
  <c r="A49" i="17"/>
  <c r="A48" i="17"/>
  <c r="A47" i="17"/>
  <c r="B49" i="17"/>
  <c r="B46" i="17"/>
  <c r="B45" i="17"/>
  <c r="B44" i="17"/>
  <c r="B43" i="17"/>
  <c r="A37" i="17"/>
  <c r="A36" i="17"/>
  <c r="B31" i="17"/>
  <c r="A31" i="17"/>
  <c r="B30" i="17"/>
  <c r="B26" i="17"/>
  <c r="A23" i="17"/>
  <c r="B23" i="17"/>
  <c r="A24" i="17"/>
  <c r="B24" i="17"/>
  <c r="A25" i="17"/>
  <c r="B25" i="17"/>
  <c r="A26" i="17"/>
  <c r="G30" i="20" l="1"/>
  <c r="I40" i="20"/>
  <c r="E40" i="20"/>
  <c r="E33" i="13"/>
  <c r="E46" i="17"/>
  <c r="B12" i="17"/>
  <c r="B10" i="17"/>
  <c r="D7" i="17"/>
  <c r="D6" i="17"/>
  <c r="B12" i="8"/>
  <c r="E12" i="8"/>
  <c r="B665" i="6" l="1"/>
  <c r="D176" i="6"/>
  <c r="B49" i="16"/>
  <c r="C6" i="7" l="1"/>
  <c r="M129" i="7" l="1"/>
  <c r="M128" i="7"/>
  <c r="S128" i="7" s="1"/>
  <c r="M127" i="7"/>
  <c r="S127" i="7" s="1"/>
  <c r="M126" i="7"/>
  <c r="S126" i="7" s="1"/>
  <c r="M109" i="7"/>
  <c r="M108" i="7"/>
  <c r="G70" i="6"/>
  <c r="G69" i="6"/>
  <c r="H275" i="6" l="1"/>
  <c r="E275" i="6"/>
  <c r="D6" i="7"/>
  <c r="D10" i="7"/>
  <c r="N285" i="7" s="1"/>
  <c r="C10" i="7"/>
  <c r="M285" i="7" s="1"/>
  <c r="W110" i="7" l="1"/>
  <c r="W51" i="7"/>
  <c r="V51" i="7"/>
  <c r="U51" i="7"/>
  <c r="Y50" i="7"/>
  <c r="X50" i="7"/>
  <c r="W50" i="7"/>
  <c r="V50" i="7"/>
  <c r="U50" i="7"/>
  <c r="Y49" i="7"/>
  <c r="X49" i="7"/>
  <c r="W49" i="7"/>
  <c r="V49" i="7"/>
  <c r="U49" i="7"/>
  <c r="Y48" i="7"/>
  <c r="X48" i="7"/>
  <c r="W48" i="7"/>
  <c r="V48" i="7"/>
  <c r="U48" i="7"/>
  <c r="Y47" i="7"/>
  <c r="X47" i="7"/>
  <c r="W47" i="7"/>
  <c r="V47" i="7"/>
  <c r="U47" i="7"/>
  <c r="Y46" i="7"/>
  <c r="X46" i="7"/>
  <c r="W46" i="7"/>
  <c r="V46" i="7"/>
  <c r="U46" i="7"/>
  <c r="Y45" i="7"/>
  <c r="X45" i="7"/>
  <c r="W45" i="7"/>
  <c r="V45" i="7"/>
  <c r="U45" i="7"/>
  <c r="Y44" i="7"/>
  <c r="X44" i="7"/>
  <c r="W44" i="7"/>
  <c r="V44" i="7"/>
  <c r="U44" i="7"/>
  <c r="Y43" i="7"/>
  <c r="X43" i="7"/>
  <c r="W43" i="7"/>
  <c r="V43" i="7"/>
  <c r="U43" i="7"/>
  <c r="Y42" i="7"/>
  <c r="X42" i="7"/>
  <c r="W42" i="7"/>
  <c r="V42" i="7"/>
  <c r="U42" i="7"/>
  <c r="Y41" i="7"/>
  <c r="X41" i="7"/>
  <c r="W41" i="7"/>
  <c r="V41" i="7"/>
  <c r="U41" i="7"/>
  <c r="Y40" i="7"/>
  <c r="X40" i="7"/>
  <c r="W40" i="7"/>
  <c r="V40" i="7"/>
  <c r="U40" i="7"/>
  <c r="Y39" i="7"/>
  <c r="X39" i="7"/>
  <c r="W39" i="7"/>
  <c r="V39" i="7"/>
  <c r="U39" i="7"/>
  <c r="Y38" i="7"/>
  <c r="X38" i="7"/>
  <c r="W38" i="7"/>
  <c r="V38" i="7"/>
  <c r="U38" i="7"/>
  <c r="T51" i="7"/>
  <c r="T50" i="7"/>
  <c r="T49" i="7"/>
  <c r="T48" i="7"/>
  <c r="T47" i="7"/>
  <c r="T46" i="7"/>
  <c r="T45" i="7"/>
  <c r="T44" i="7"/>
  <c r="T43" i="7"/>
  <c r="Y51" i="7"/>
  <c r="T41" i="7"/>
  <c r="T40" i="7"/>
  <c r="T39" i="7"/>
  <c r="T38" i="7"/>
  <c r="Y25" i="7"/>
  <c r="X25" i="7"/>
  <c r="W25" i="7"/>
  <c r="V25" i="7"/>
  <c r="U25" i="7"/>
  <c r="Y24" i="7"/>
  <c r="X24" i="7"/>
  <c r="W24" i="7"/>
  <c r="T42" i="7"/>
  <c r="U24" i="7"/>
  <c r="Y23" i="7"/>
  <c r="X23" i="7"/>
  <c r="W23" i="7"/>
  <c r="V23" i="7"/>
  <c r="U23" i="7"/>
  <c r="T25" i="7"/>
  <c r="T24" i="7"/>
  <c r="T23" i="7"/>
  <c r="T26" i="7" s="1"/>
  <c r="Q23" i="7"/>
  <c r="X51" i="7"/>
  <c r="V110" i="7"/>
  <c r="V24" i="7"/>
  <c r="Z49" i="7"/>
  <c r="Z48" i="7"/>
  <c r="Z39" i="7"/>
  <c r="AA39" i="7" s="1"/>
  <c r="Z47" i="7"/>
  <c r="Z46" i="7"/>
  <c r="Z38" i="7"/>
  <c r="AA38" i="7" s="1"/>
  <c r="Z45" i="7"/>
  <c r="Z44" i="7"/>
  <c r="AA44" i="7" s="1"/>
  <c r="Z43" i="7"/>
  <c r="AA43" i="7" s="1"/>
  <c r="U110" i="7"/>
  <c r="Z42" i="7"/>
  <c r="AA42" i="7" s="1"/>
  <c r="Z41" i="7"/>
  <c r="AA41" i="7" s="1"/>
  <c r="Z40" i="7"/>
  <c r="AA40" i="7" s="1"/>
  <c r="T110" i="7"/>
  <c r="R92" i="7"/>
  <c r="Z24" i="7"/>
  <c r="Z23" i="7"/>
  <c r="X92" i="7"/>
  <c r="Q46" i="7"/>
  <c r="Q38" i="7"/>
  <c r="Q49" i="7"/>
  <c r="Q47" i="7"/>
  <c r="Q45" i="7"/>
  <c r="Q43" i="7"/>
  <c r="Q41" i="7"/>
  <c r="Q39" i="7"/>
  <c r="Q48" i="7"/>
  <c r="Q42" i="7"/>
  <c r="Q51" i="7"/>
  <c r="Q50" i="7"/>
  <c r="Q44" i="7"/>
  <c r="Q40" i="7"/>
  <c r="R51" i="7"/>
  <c r="R49" i="7"/>
  <c r="R47" i="7"/>
  <c r="R45" i="7"/>
  <c r="R43" i="7"/>
  <c r="R41" i="7"/>
  <c r="R39" i="7"/>
  <c r="Z50" i="7"/>
  <c r="R50" i="7"/>
  <c r="Z25" i="7"/>
  <c r="Z51" i="7"/>
  <c r="R48" i="7"/>
  <c r="R46" i="7"/>
  <c r="R44" i="7"/>
  <c r="R42" i="7"/>
  <c r="R40" i="7"/>
  <c r="R38" i="7"/>
  <c r="R130" i="7"/>
  <c r="Y92" i="7"/>
  <c r="Q130" i="7"/>
  <c r="R23" i="7"/>
  <c r="Q24" i="7"/>
  <c r="Q25" i="7"/>
  <c r="R25" i="7"/>
  <c r="R24" i="7"/>
  <c r="W26" i="7" l="1"/>
  <c r="W52" i="7"/>
  <c r="V52" i="7"/>
  <c r="V26" i="7"/>
  <c r="U26" i="7"/>
  <c r="U52" i="7"/>
  <c r="T52" i="7"/>
  <c r="Y52" i="7"/>
  <c r="X52" i="7"/>
  <c r="H223" i="6" l="1"/>
  <c r="E223" i="6"/>
  <c r="H219" i="6"/>
  <c r="E219" i="6"/>
  <c r="I224" i="6" l="1"/>
  <c r="B115" i="6"/>
  <c r="G116" i="6"/>
  <c r="D116" i="6"/>
  <c r="G71" i="6"/>
  <c r="D71" i="6"/>
  <c r="B668" i="6"/>
  <c r="B660" i="6"/>
  <c r="B657" i="6"/>
  <c r="B653" i="6"/>
  <c r="B301" i="6"/>
  <c r="B658" i="6" s="1"/>
  <c r="B302" i="6"/>
  <c r="B659" i="6" s="1"/>
  <c r="D128" i="6" l="1"/>
  <c r="C51" i="16"/>
  <c r="G128" i="6"/>
  <c r="E51" i="16"/>
  <c r="B72" i="6"/>
  <c r="E163" i="6"/>
  <c r="E166" i="6" s="1"/>
  <c r="G145" i="6"/>
  <c r="I145" i="6" s="1"/>
  <c r="D145" i="6"/>
  <c r="F145" i="6" s="1"/>
  <c r="D108" i="6"/>
  <c r="G108" i="6"/>
  <c r="G61" i="6"/>
  <c r="D61" i="6"/>
  <c r="I108" i="6" l="1"/>
  <c r="H108" i="6"/>
  <c r="F108" i="6"/>
  <c r="E108" i="6"/>
  <c r="G31" i="13"/>
  <c r="E31" i="13"/>
  <c r="E28" i="13"/>
  <c r="D78" i="16"/>
  <c r="G28" i="13"/>
  <c r="F78" i="16"/>
  <c r="E49" i="16"/>
  <c r="G228" i="6"/>
  <c r="I228" i="6" s="1"/>
  <c r="D126" i="6"/>
  <c r="D228" i="6"/>
  <c r="T212" i="7"/>
  <c r="V212" i="7" s="1"/>
  <c r="C49" i="16"/>
  <c r="D33" i="16"/>
  <c r="G147" i="6"/>
  <c r="F33" i="16"/>
  <c r="D147" i="6"/>
  <c r="G126" i="6"/>
  <c r="E24" i="17"/>
  <c r="G72" i="6"/>
  <c r="B25" i="6"/>
  <c r="B24" i="6"/>
  <c r="B26" i="6"/>
  <c r="E29" i="7"/>
  <c r="E26" i="7"/>
  <c r="C26" i="7"/>
  <c r="G25" i="6"/>
  <c r="G24" i="6"/>
  <c r="D24" i="6"/>
  <c r="H21" i="13"/>
  <c r="F21" i="13"/>
  <c r="J39" i="20" l="1"/>
  <c r="F39" i="20"/>
  <c r="I39" i="20"/>
  <c r="K39" i="20" s="1"/>
  <c r="E39" i="20"/>
  <c r="I147" i="6"/>
  <c r="F228" i="6"/>
  <c r="F126" i="6"/>
  <c r="F147" i="6"/>
  <c r="E147" i="6"/>
  <c r="G30" i="17"/>
  <c r="E30" i="17" s="1"/>
  <c r="F30" i="17"/>
  <c r="C218" i="7"/>
  <c r="G74" i="6"/>
  <c r="H147" i="6"/>
  <c r="D19" i="6"/>
  <c r="D29" i="7"/>
  <c r="D25" i="6"/>
  <c r="F29" i="7"/>
  <c r="B18" i="13"/>
  <c r="I37" i="20" l="1"/>
  <c r="E37" i="20"/>
  <c r="J37" i="20"/>
  <c r="F37" i="20"/>
  <c r="G39" i="20"/>
  <c r="I148" i="6" a="1"/>
  <c r="I148" i="6" s="1"/>
  <c r="F148" i="6" a="1"/>
  <c r="F148" i="6" s="1"/>
  <c r="E148" i="6" a="1"/>
  <c r="E148" i="6" s="1"/>
  <c r="G148" i="6" a="1"/>
  <c r="G148" i="6" s="1"/>
  <c r="B148" i="6"/>
  <c r="D148" i="6" a="1"/>
  <c r="D148" i="6" s="1"/>
  <c r="H148" i="6" a="1"/>
  <c r="H148" i="6" s="1"/>
  <c r="G135" i="6"/>
  <c r="D21" i="6"/>
  <c r="G75" i="6"/>
  <c r="H135" i="6"/>
  <c r="I135" i="6" s="1"/>
  <c r="F34" i="7"/>
  <c r="G48" i="6" s="1"/>
  <c r="G50" i="6" s="1"/>
  <c r="G24" i="17"/>
  <c r="D34" i="7"/>
  <c r="G26" i="6"/>
  <c r="D26" i="6"/>
  <c r="D3" i="13"/>
  <c r="G37" i="20" l="1"/>
  <c r="K37" i="20"/>
  <c r="I75" i="6"/>
  <c r="H75" i="6"/>
  <c r="E21" i="6"/>
  <c r="F21" i="6"/>
  <c r="F36" i="17"/>
  <c r="G206" i="6"/>
  <c r="D27" i="6"/>
  <c r="G120" i="6"/>
  <c r="E44" i="16"/>
  <c r="G23" i="13"/>
  <c r="AA48" i="7"/>
  <c r="AA47" i="7"/>
  <c r="AA45" i="7"/>
  <c r="AA49" i="7"/>
  <c r="AA46" i="7"/>
  <c r="D69" i="6"/>
  <c r="J5" i="8"/>
  <c r="H229" i="6"/>
  <c r="H216" i="6"/>
  <c r="H189" i="6"/>
  <c r="H174" i="6"/>
  <c r="H170" i="6"/>
  <c r="H159" i="6"/>
  <c r="U211" i="7" s="1"/>
  <c r="H154" i="6"/>
  <c r="H153" i="6"/>
  <c r="H152" i="6"/>
  <c r="H146" i="6"/>
  <c r="H145" i="6"/>
  <c r="H143" i="6"/>
  <c r="H110" i="6"/>
  <c r="I168" i="6" l="1"/>
  <c r="H31" i="13"/>
  <c r="H29" i="13"/>
  <c r="I110" i="6"/>
  <c r="I127" i="6" s="1"/>
  <c r="I155" i="6"/>
  <c r="D74" i="6"/>
  <c r="D135" i="6" s="1"/>
  <c r="H168" i="6"/>
  <c r="D29" i="16"/>
  <c r="F29" i="16"/>
  <c r="G196" i="6"/>
  <c r="H127" i="6"/>
  <c r="H155" i="6"/>
  <c r="H32" i="13" s="1"/>
  <c r="I169" i="6" l="1"/>
  <c r="I171" i="6" s="1"/>
  <c r="I173" i="6" s="1"/>
  <c r="I175" i="6" s="1"/>
  <c r="I176" i="6" s="1"/>
  <c r="H169" i="6"/>
  <c r="H171" i="6" s="1"/>
  <c r="W211" i="7"/>
  <c r="W213" i="7" s="1"/>
  <c r="U213" i="7"/>
  <c r="E135" i="6"/>
  <c r="F135" i="6" s="1"/>
  <c r="D75" i="6"/>
  <c r="I58" i="16" s="1"/>
  <c r="H33" i="13" l="1"/>
  <c r="H173" i="6"/>
  <c r="H175" i="6" s="1"/>
  <c r="H172" i="6"/>
  <c r="I172" i="6"/>
  <c r="F75" i="6"/>
  <c r="F120" i="6" s="1"/>
  <c r="E75" i="6"/>
  <c r="D206" i="6"/>
  <c r="D120" i="6"/>
  <c r="E23" i="13"/>
  <c r="C44" i="16"/>
  <c r="H176" i="6" l="1"/>
  <c r="H34" i="13"/>
  <c r="E110" i="6"/>
  <c r="E174" i="6"/>
  <c r="E170" i="6"/>
  <c r="E159" i="6"/>
  <c r="T211" i="7" s="1"/>
  <c r="E154" i="6"/>
  <c r="E153" i="6"/>
  <c r="E152" i="6"/>
  <c r="E146" i="6"/>
  <c r="E145" i="6"/>
  <c r="F31" i="13" s="1"/>
  <c r="E143" i="6"/>
  <c r="C121" i="6"/>
  <c r="C120" i="6"/>
  <c r="C119" i="6"/>
  <c r="C128" i="6"/>
  <c r="B128" i="6"/>
  <c r="C127" i="6"/>
  <c r="B127" i="6"/>
  <c r="C126" i="6"/>
  <c r="B126" i="6"/>
  <c r="C125" i="6"/>
  <c r="B125" i="6"/>
  <c r="C123" i="6"/>
  <c r="B123" i="6"/>
  <c r="A123" i="6"/>
  <c r="A128" i="6"/>
  <c r="A127" i="6"/>
  <c r="A126" i="6"/>
  <c r="A125" i="6"/>
  <c r="B121" i="6"/>
  <c r="B120" i="6"/>
  <c r="B119" i="6"/>
  <c r="A121" i="6"/>
  <c r="A120" i="6"/>
  <c r="A119" i="6"/>
  <c r="F29" i="13" l="1"/>
  <c r="F110" i="6"/>
  <c r="F127" i="6" s="1"/>
  <c r="T213" i="7"/>
  <c r="E168" i="6"/>
  <c r="B37" i="17"/>
  <c r="B59" i="16"/>
  <c r="B36" i="17"/>
  <c r="B58" i="16"/>
  <c r="E127" i="6"/>
  <c r="B666" i="6"/>
  <c r="B669" i="6"/>
  <c r="E155" i="6"/>
  <c r="F32" i="13" s="1"/>
  <c r="J40" i="8"/>
  <c r="J39" i="8"/>
  <c r="J38" i="8"/>
  <c r="J37" i="8"/>
  <c r="J36" i="8"/>
  <c r="J35" i="8"/>
  <c r="J34" i="8"/>
  <c r="J33" i="8"/>
  <c r="J32" i="8"/>
  <c r="J31" i="8"/>
  <c r="J30" i="8"/>
  <c r="B34" i="8"/>
  <c r="C34" i="8"/>
  <c r="K5" i="8"/>
  <c r="C40" i="8"/>
  <c r="C39" i="8"/>
  <c r="C38" i="8"/>
  <c r="C37" i="8"/>
  <c r="C36" i="8"/>
  <c r="C35" i="8"/>
  <c r="C33" i="8"/>
  <c r="C32" i="8"/>
  <c r="C31" i="8"/>
  <c r="C29" i="8"/>
  <c r="B29" i="8"/>
  <c r="B40" i="8"/>
  <c r="B39" i="8"/>
  <c r="B38" i="8"/>
  <c r="B37" i="8"/>
  <c r="B36" i="8"/>
  <c r="B35" i="8"/>
  <c r="B33" i="8"/>
  <c r="B32" i="8"/>
  <c r="B31" i="8"/>
  <c r="B30" i="8"/>
  <c r="E169" i="6" l="1"/>
  <c r="E171" i="6" s="1"/>
  <c r="F33" i="13" s="1"/>
  <c r="V211" i="7"/>
  <c r="V213" i="7" s="1"/>
  <c r="G224" i="6"/>
  <c r="D224" i="6"/>
  <c r="F172" i="6" l="1"/>
  <c r="E172" i="6"/>
  <c r="G35" i="13"/>
  <c r="E35" i="13"/>
  <c r="E173" i="6"/>
  <c r="D40" i="8"/>
  <c r="D39" i="8"/>
  <c r="D38" i="8"/>
  <c r="B272" i="6"/>
  <c r="B271" i="6"/>
  <c r="E189" i="6"/>
  <c r="E216" i="6"/>
  <c r="M76" i="7"/>
  <c r="M91" i="7"/>
  <c r="M90" i="7"/>
  <c r="E40" i="8" l="1"/>
  <c r="E38" i="8"/>
  <c r="E39" i="8"/>
  <c r="I18" i="16"/>
  <c r="J18" i="16"/>
  <c r="D30" i="8"/>
  <c r="D34" i="8"/>
  <c r="D31" i="8"/>
  <c r="D35" i="8"/>
  <c r="O311" i="7"/>
  <c r="K7" i="8" s="1"/>
  <c r="D32" i="8"/>
  <c r="D36" i="8"/>
  <c r="D33" i="8"/>
  <c r="D37" i="8"/>
  <c r="N311" i="7"/>
  <c r="J7" i="8" s="1"/>
  <c r="E34" i="8" l="1"/>
  <c r="E35" i="8"/>
  <c r="E36" i="8"/>
  <c r="E37" i="8"/>
  <c r="E33" i="8"/>
  <c r="E32" i="8"/>
  <c r="E31" i="8"/>
  <c r="E30" i="8"/>
  <c r="L7" i="8"/>
  <c r="P311" i="7"/>
  <c r="O313" i="7"/>
  <c r="K9" i="8" s="1"/>
  <c r="O310" i="7"/>
  <c r="N313" i="7"/>
  <c r="J9" i="8" s="1"/>
  <c r="N310" i="7"/>
  <c r="N314" i="7" l="1"/>
  <c r="K6" i="8"/>
  <c r="K10" i="8" s="1"/>
  <c r="O314" i="7"/>
  <c r="E41" i="8"/>
  <c r="L9" i="8"/>
  <c r="P315" i="7"/>
  <c r="P313" i="7"/>
  <c r="D80" i="6" l="1"/>
  <c r="D155" i="6"/>
  <c r="G80" i="6"/>
  <c r="G155" i="6"/>
  <c r="G31" i="17" s="1"/>
  <c r="G207" i="6" l="1"/>
  <c r="H80" i="6"/>
  <c r="I80" i="6"/>
  <c r="F80" i="6"/>
  <c r="F121" i="6" s="1"/>
  <c r="E80" i="6"/>
  <c r="F24" i="13" s="1"/>
  <c r="D31" i="16"/>
  <c r="D207" i="6"/>
  <c r="D121" i="6"/>
  <c r="E32" i="13"/>
  <c r="F25" i="17"/>
  <c r="G25" i="17" s="1"/>
  <c r="G32" i="13"/>
  <c r="F31" i="17"/>
  <c r="E31" i="17" s="1"/>
  <c r="G24" i="13"/>
  <c r="E45" i="16"/>
  <c r="E24" i="13"/>
  <c r="C45" i="16"/>
  <c r="D34" i="16"/>
  <c r="D35" i="16" s="1"/>
  <c r="I17" i="16" s="1"/>
  <c r="F34" i="16"/>
  <c r="F35" i="16" s="1"/>
  <c r="J17" i="16" s="1"/>
  <c r="G121" i="6"/>
  <c r="F31" i="16"/>
  <c r="C58" i="16"/>
  <c r="E36" i="17"/>
  <c r="E58" i="16"/>
  <c r="E26" i="17"/>
  <c r="F28" i="13"/>
  <c r="E69" i="16"/>
  <c r="H28" i="13" l="1"/>
  <c r="H24" i="13"/>
  <c r="I121" i="6"/>
  <c r="H228" i="6"/>
  <c r="E228" i="6"/>
  <c r="E25" i="17"/>
  <c r="D188" i="6"/>
  <c r="C69" i="16"/>
  <c r="H128" i="6"/>
  <c r="E121" i="6"/>
  <c r="H121" i="6"/>
  <c r="F23" i="13"/>
  <c r="G188" i="6"/>
  <c r="I188" i="6" s="1"/>
  <c r="I126" i="6" l="1"/>
  <c r="E188" i="6"/>
  <c r="F188" i="6"/>
  <c r="H23" i="13"/>
  <c r="I120" i="6"/>
  <c r="H188" i="6"/>
  <c r="H120" i="6"/>
  <c r="E120" i="6"/>
  <c r="N5" i="7"/>
  <c r="N29" i="7"/>
  <c r="Y33" i="7" l="1"/>
  <c r="X33" i="7"/>
  <c r="W33" i="7"/>
  <c r="V33" i="7"/>
  <c r="U33" i="7"/>
  <c r="Y32" i="7"/>
  <c r="X32" i="7"/>
  <c r="W32" i="7"/>
  <c r="V32" i="7"/>
  <c r="U32" i="7"/>
  <c r="Y31" i="7"/>
  <c r="X31" i="7"/>
  <c r="W31" i="7"/>
  <c r="V31" i="7"/>
  <c r="U31" i="7"/>
  <c r="T33" i="7"/>
  <c r="T32" i="7"/>
  <c r="T31" i="7"/>
  <c r="E45" i="17"/>
  <c r="R5" i="7"/>
  <c r="O57" i="7"/>
  <c r="N57" i="7"/>
  <c r="U34" i="7" l="1"/>
  <c r="W34" i="7"/>
  <c r="V34" i="7"/>
  <c r="T34" i="7"/>
  <c r="S146" i="7"/>
  <c r="N45" i="7" l="1"/>
  <c r="M137" i="7"/>
  <c r="M136" i="7"/>
  <c r="P45" i="7" l="1"/>
  <c r="S45" i="7" s="1"/>
  <c r="N46" i="7"/>
  <c r="B5" i="13"/>
  <c r="G32" i="6"/>
  <c r="G43" i="6"/>
  <c r="D32" i="6"/>
  <c r="M83" i="7"/>
  <c r="M82" i="7"/>
  <c r="P46" i="7" l="1"/>
  <c r="S46" i="7" s="1"/>
  <c r="N47" i="7"/>
  <c r="E23" i="17"/>
  <c r="G23" i="17"/>
  <c r="M120" i="7"/>
  <c r="M119" i="7"/>
  <c r="S119" i="7" s="1"/>
  <c r="M118" i="7"/>
  <c r="M117" i="7"/>
  <c r="S117" i="7" s="1"/>
  <c r="M100" i="7"/>
  <c r="M99" i="7"/>
  <c r="S118" i="7" l="1"/>
  <c r="P47" i="7"/>
  <c r="S47" i="7" s="1"/>
  <c r="N48" i="7"/>
  <c r="P48" i="7" l="1"/>
  <c r="S48" i="7" s="1"/>
  <c r="N49" i="7"/>
  <c r="D6" i="8"/>
  <c r="D11" i="8" s="1"/>
  <c r="P49" i="7" l="1"/>
  <c r="S49" i="7" s="1"/>
  <c r="D38" i="6"/>
  <c r="G33" i="6"/>
  <c r="G38" i="6"/>
  <c r="B8" i="8"/>
  <c r="B7" i="8"/>
  <c r="R26" i="7" l="1"/>
  <c r="D33" i="6"/>
  <c r="Q79" i="7" s="1"/>
  <c r="Q83" i="7" l="1"/>
  <c r="Q91" i="7"/>
  <c r="Q90" i="7"/>
  <c r="Q82" i="7"/>
  <c r="D34" i="6"/>
  <c r="F34" i="6" l="1"/>
  <c r="E34" i="6"/>
  <c r="D203" i="6"/>
  <c r="D195" i="6"/>
  <c r="C302" i="7"/>
  <c r="Q114" i="7"/>
  <c r="Q126" i="7" l="1"/>
  <c r="Q116" i="7"/>
  <c r="Q127" i="7"/>
  <c r="Q128" i="7"/>
  <c r="Q119" i="7"/>
  <c r="Q118" i="7"/>
  <c r="Q117" i="7"/>
  <c r="P182" i="7"/>
  <c r="E175" i="6"/>
  <c r="E176" i="6" l="1"/>
  <c r="F666" i="6" s="1"/>
  <c r="F663" i="6"/>
  <c r="D198" i="6"/>
  <c r="D200" i="6" s="1"/>
  <c r="F34" i="13"/>
  <c r="E34" i="13"/>
  <c r="D44" i="6"/>
  <c r="D668" i="6"/>
  <c r="F44" i="6" l="1"/>
  <c r="E44" i="6"/>
  <c r="V5" i="7"/>
  <c r="E208" i="6"/>
  <c r="E207" i="6"/>
  <c r="E206" i="6"/>
  <c r="E205" i="6"/>
  <c r="E204" i="6"/>
  <c r="E203" i="6"/>
  <c r="E42" i="6" s="1"/>
  <c r="D28" i="16"/>
  <c r="D32" i="16" s="1"/>
  <c r="C59" i="16"/>
  <c r="P196" i="7"/>
  <c r="D56" i="6"/>
  <c r="E56" i="6" s="1"/>
  <c r="Q125" i="7"/>
  <c r="X79" i="7"/>
  <c r="E666" i="6"/>
  <c r="D669" i="6"/>
  <c r="E670" i="6" s="1"/>
  <c r="F56" i="6" l="1"/>
  <c r="F119" i="6" s="1"/>
  <c r="V15" i="7"/>
  <c r="V8" i="7" s="1"/>
  <c r="V16" i="7"/>
  <c r="V17" i="7"/>
  <c r="V10" i="7" s="1"/>
  <c r="D119" i="6"/>
  <c r="X90" i="7"/>
  <c r="X91" i="7"/>
  <c r="X82" i="7"/>
  <c r="X83" i="7"/>
  <c r="X84" i="7"/>
  <c r="Q121" i="7"/>
  <c r="C66" i="16" s="1"/>
  <c r="E22" i="13"/>
  <c r="C43" i="16"/>
  <c r="F22" i="13"/>
  <c r="D185" i="6" l="1"/>
  <c r="F185" i="6" s="1"/>
  <c r="D186" i="6"/>
  <c r="E119" i="6"/>
  <c r="E186" i="6" l="1"/>
  <c r="F186" i="6"/>
  <c r="E185" i="6"/>
  <c r="P310" i="7"/>
  <c r="P314" i="7" s="1"/>
  <c r="P319" i="7" s="1"/>
  <c r="Q314" i="7" l="1"/>
  <c r="M10" i="8" s="1"/>
  <c r="J6" i="8"/>
  <c r="L6" i="8" s="1"/>
  <c r="J10" i="8" l="1"/>
  <c r="L10" i="8"/>
  <c r="J11" i="8" l="1"/>
  <c r="E126" i="6"/>
  <c r="H126" i="6"/>
  <c r="E128" i="6" l="1"/>
  <c r="R52" i="7" l="1"/>
  <c r="Q26" i="7" l="1"/>
  <c r="Q52" i="7"/>
  <c r="AA50" i="7" l="1"/>
  <c r="AA51" i="7" l="1"/>
  <c r="Z52" i="7"/>
  <c r="AA52" i="7" l="1"/>
  <c r="Z26" i="7" l="1"/>
  <c r="AA24" i="7"/>
  <c r="AA23" i="7"/>
  <c r="AA25" i="7" l="1"/>
  <c r="AA26" i="7" l="1"/>
  <c r="F67" i="7"/>
  <c r="F72" i="7" s="1"/>
  <c r="F73" i="7" s="1"/>
  <c r="R79" i="7" s="1"/>
  <c r="R114" i="7" s="1"/>
  <c r="B42" i="6" l="1"/>
  <c r="G12" i="6"/>
  <c r="B31" i="6" s="1"/>
  <c r="R91" i="7" l="1"/>
  <c r="R90" i="7"/>
  <c r="R82" i="7"/>
  <c r="R83" i="7"/>
  <c r="G21" i="6"/>
  <c r="I21" i="6" l="1"/>
  <c r="H21" i="6"/>
  <c r="D238" i="6"/>
  <c r="R128" i="7"/>
  <c r="R127" i="7"/>
  <c r="R126" i="7"/>
  <c r="R117" i="7"/>
  <c r="R118" i="7"/>
  <c r="R119" i="7"/>
  <c r="G34" i="6"/>
  <c r="G27" i="6"/>
  <c r="Q182" i="7"/>
  <c r="D302" i="7"/>
  <c r="B185" i="6"/>
  <c r="B42" i="17" s="1"/>
  <c r="R116" i="7"/>
  <c r="R125" i="7"/>
  <c r="R84" i="7"/>
  <c r="E67" i="16" s="1"/>
  <c r="Y79" i="7"/>
  <c r="G203" i="6" l="1"/>
  <c r="I34" i="6"/>
  <c r="H34" i="6"/>
  <c r="F43" i="17"/>
  <c r="G212" i="6"/>
  <c r="Y91" i="7"/>
  <c r="Y90" i="7"/>
  <c r="Y82" i="7"/>
  <c r="Y83" i="7"/>
  <c r="G195" i="6"/>
  <c r="G198" i="6" s="1"/>
  <c r="G200" i="6" s="1"/>
  <c r="G66" i="17" s="1"/>
  <c r="D237" i="6"/>
  <c r="D233" i="6"/>
  <c r="D236" i="6"/>
  <c r="D235" i="6"/>
  <c r="C142" i="7"/>
  <c r="D142" i="7" s="1"/>
  <c r="D234" i="6"/>
  <c r="C126" i="7"/>
  <c r="D126" i="7" s="1"/>
  <c r="G44" i="6"/>
  <c r="R121" i="7"/>
  <c r="E66" i="16" s="1"/>
  <c r="I44" i="6" l="1"/>
  <c r="H44" i="6"/>
  <c r="F237" i="6"/>
  <c r="F233" i="6"/>
  <c r="F236" i="6"/>
  <c r="F235" i="6"/>
  <c r="F234" i="6"/>
  <c r="G22" i="17"/>
  <c r="F42" i="17"/>
  <c r="E237" i="6"/>
  <c r="E233" i="6"/>
  <c r="D84" i="16"/>
  <c r="E236" i="6"/>
  <c r="E235" i="6"/>
  <c r="D86" i="16"/>
  <c r="E234" i="6"/>
  <c r="D85" i="16"/>
  <c r="G56" i="6"/>
  <c r="W5" i="7"/>
  <c r="H203" i="6"/>
  <c r="H205" i="6"/>
  <c r="H206" i="6"/>
  <c r="H207" i="6"/>
  <c r="H204" i="6"/>
  <c r="H208" i="6"/>
  <c r="G238" i="6" s="1"/>
  <c r="H209" i="6"/>
  <c r="H210" i="6"/>
  <c r="H211" i="6"/>
  <c r="G213" i="6"/>
  <c r="C296" i="7"/>
  <c r="F22" i="17"/>
  <c r="F28" i="16"/>
  <c r="F32" i="16" s="1"/>
  <c r="J16" i="16" s="1"/>
  <c r="G179" i="6"/>
  <c r="G181" i="6" s="1"/>
  <c r="H179" i="6"/>
  <c r="Q196" i="7"/>
  <c r="G185" i="6"/>
  <c r="H185" i="6" s="1"/>
  <c r="I185" i="6" s="1"/>
  <c r="G186" i="6"/>
  <c r="E43" i="17"/>
  <c r="Y84" i="7"/>
  <c r="R31" i="7"/>
  <c r="R32" i="7"/>
  <c r="R33" i="7"/>
  <c r="E42" i="17" l="1"/>
  <c r="I56" i="6"/>
  <c r="I119" i="6" s="1"/>
  <c r="I129" i="6" s="1"/>
  <c r="H56" i="6"/>
  <c r="H181" i="6"/>
  <c r="I181" i="6" s="1"/>
  <c r="I179" i="6"/>
  <c r="H186" i="6"/>
  <c r="I186" i="6"/>
  <c r="H42" i="6"/>
  <c r="G22" i="13"/>
  <c r="E43" i="16"/>
  <c r="E54" i="16" s="1"/>
  <c r="G119" i="6"/>
  <c r="G129" i="6" s="1"/>
  <c r="C415" i="7" s="1"/>
  <c r="E420" i="7" s="1"/>
  <c r="W15" i="7"/>
  <c r="W16" i="7"/>
  <c r="W9" i="7" s="1"/>
  <c r="W17" i="7"/>
  <c r="H212" i="6"/>
  <c r="G233" i="6"/>
  <c r="E142" i="7"/>
  <c r="F142" i="7" s="1"/>
  <c r="G235" i="6"/>
  <c r="G236" i="6"/>
  <c r="G237" i="6"/>
  <c r="E126" i="7"/>
  <c r="F126" i="7" s="1"/>
  <c r="G234" i="6"/>
  <c r="G239" i="6"/>
  <c r="G240" i="6"/>
  <c r="I240" i="6" s="1"/>
  <c r="G241" i="6"/>
  <c r="I241" i="6" s="1"/>
  <c r="F29" i="17"/>
  <c r="G29" i="17"/>
  <c r="E22" i="17"/>
  <c r="E29" i="17" s="1"/>
  <c r="E32" i="17" s="1"/>
  <c r="R34" i="7"/>
  <c r="F32" i="17" l="1"/>
  <c r="Z96" i="7"/>
  <c r="Z79" i="7"/>
  <c r="R4" i="7"/>
  <c r="F29" i="20"/>
  <c r="I239" i="6"/>
  <c r="F60" i="17"/>
  <c r="E60" i="17" s="1"/>
  <c r="G419" i="7"/>
  <c r="G418" i="7"/>
  <c r="F421" i="7"/>
  <c r="C367" i="7"/>
  <c r="I301" i="6"/>
  <c r="I233" i="6"/>
  <c r="G242" i="6"/>
  <c r="I235" i="6"/>
  <c r="I236" i="6"/>
  <c r="I237" i="6"/>
  <c r="I234" i="6"/>
  <c r="G285" i="6"/>
  <c r="F55" i="17"/>
  <c r="F57" i="17"/>
  <c r="E57" i="17" s="1"/>
  <c r="F58" i="17"/>
  <c r="E58" i="17" s="1"/>
  <c r="F59" i="17"/>
  <c r="E59" i="17" s="1"/>
  <c r="F56" i="17"/>
  <c r="E56" i="17" s="1"/>
  <c r="G141" i="6"/>
  <c r="G140" i="6" s="1"/>
  <c r="H140" i="6" s="1"/>
  <c r="G136" i="6"/>
  <c r="G133" i="6" s="1"/>
  <c r="F84" i="16"/>
  <c r="F86" i="16"/>
  <c r="F85" i="16"/>
  <c r="H239" i="6"/>
  <c r="H240" i="6"/>
  <c r="H241" i="6"/>
  <c r="H233" i="6"/>
  <c r="H235" i="6"/>
  <c r="H236" i="6"/>
  <c r="H237" i="6"/>
  <c r="R16" i="7"/>
  <c r="R17" i="7"/>
  <c r="R96" i="7"/>
  <c r="R142" i="7"/>
  <c r="D289" i="7"/>
  <c r="G30" i="13"/>
  <c r="G301" i="6"/>
  <c r="R133" i="7"/>
  <c r="R15" i="7"/>
  <c r="D264" i="7"/>
  <c r="H22" i="13"/>
  <c r="H119" i="6"/>
  <c r="H129" i="6" s="1"/>
  <c r="J29" i="20" s="1"/>
  <c r="H234" i="6"/>
  <c r="R110" i="7"/>
  <c r="R138" i="7"/>
  <c r="E68" i="16" s="1"/>
  <c r="Y26" i="7"/>
  <c r="F422" i="7" l="1"/>
  <c r="C426" i="7"/>
  <c r="G421" i="7"/>
  <c r="E423" i="7"/>
  <c r="G371" i="7"/>
  <c r="G370" i="7"/>
  <c r="E372" i="7"/>
  <c r="F373" i="7" s="1"/>
  <c r="F379" i="7" s="1"/>
  <c r="H242" i="6"/>
  <c r="I242" i="6"/>
  <c r="E20" i="19"/>
  <c r="E21" i="19" s="1"/>
  <c r="E24" i="19" s="1"/>
  <c r="E46" i="19" s="1"/>
  <c r="F44" i="17"/>
  <c r="Q9" i="7"/>
  <c r="G131" i="6" s="1"/>
  <c r="R9" i="7"/>
  <c r="R10" i="7"/>
  <c r="Q10" i="7"/>
  <c r="G132" i="6" s="1"/>
  <c r="U5" i="7"/>
  <c r="E55" i="17"/>
  <c r="E61" i="17" s="1"/>
  <c r="F61" i="17"/>
  <c r="R99" i="7"/>
  <c r="R108" i="7"/>
  <c r="R107" i="7"/>
  <c r="R98" i="7"/>
  <c r="R146" i="7"/>
  <c r="R144" i="7"/>
  <c r="R145" i="7"/>
  <c r="R136" i="7"/>
  <c r="R135" i="7"/>
  <c r="R18" i="7"/>
  <c r="Q8" i="7"/>
  <c r="G130" i="6" s="1"/>
  <c r="R8" i="7"/>
  <c r="U96" i="7"/>
  <c r="U133" i="7"/>
  <c r="H136" i="6"/>
  <c r="H30" i="13"/>
  <c r="V18" i="7"/>
  <c r="V9" i="7"/>
  <c r="V11" i="7" s="1"/>
  <c r="W10" i="7"/>
  <c r="Y34" i="7"/>
  <c r="G187" i="6"/>
  <c r="E426" i="7" l="1"/>
  <c r="F427" i="7" s="1"/>
  <c r="G256" i="6"/>
  <c r="H256" i="6"/>
  <c r="G373" i="7"/>
  <c r="C378" i="7"/>
  <c r="F374" i="7"/>
  <c r="E375" i="7"/>
  <c r="H133" i="6"/>
  <c r="I133" i="6" s="1"/>
  <c r="I136" i="6"/>
  <c r="I256" i="6"/>
  <c r="N256" i="6"/>
  <c r="R101" i="7"/>
  <c r="E65" i="16" s="1"/>
  <c r="R147" i="7"/>
  <c r="U99" i="7"/>
  <c r="U98" i="7"/>
  <c r="U17" i="7"/>
  <c r="U10" i="7" s="1"/>
  <c r="U16" i="7"/>
  <c r="U15" i="7"/>
  <c r="U8" i="7" s="1"/>
  <c r="Q11" i="7"/>
  <c r="U108" i="7"/>
  <c r="U107" i="7"/>
  <c r="U135" i="7"/>
  <c r="U136" i="7"/>
  <c r="W18" i="7"/>
  <c r="W8" i="7"/>
  <c r="W11" i="7" s="1"/>
  <c r="E44" i="17"/>
  <c r="E429" i="7" l="1"/>
  <c r="F428" i="7"/>
  <c r="G427" i="7"/>
  <c r="F41" i="17"/>
  <c r="G184" i="6"/>
  <c r="G190" i="6" s="1"/>
  <c r="F380" i="7"/>
  <c r="G379" i="7"/>
  <c r="E381" i="7"/>
  <c r="E378" i="7"/>
  <c r="I132" i="6"/>
  <c r="H132" i="6"/>
  <c r="I130" i="6"/>
  <c r="I302" i="6" s="1"/>
  <c r="I303" i="6" s="1"/>
  <c r="H130" i="6"/>
  <c r="F35" i="17"/>
  <c r="U101" i="7"/>
  <c r="H184" i="6" s="1"/>
  <c r="G134" i="6"/>
  <c r="G302" i="6"/>
  <c r="G303" i="6" s="1"/>
  <c r="Y110" i="7"/>
  <c r="H190" i="6" l="1"/>
  <c r="I184" i="6"/>
  <c r="I190" i="6" s="1"/>
  <c r="E71" i="16"/>
  <c r="E27" i="13" l="1"/>
  <c r="X26" i="7" l="1"/>
  <c r="E28" i="19" l="1"/>
  <c r="F47" i="17" l="1"/>
  <c r="E47" i="17" s="1"/>
  <c r="E41" i="17" l="1"/>
  <c r="P211" i="7" l="1"/>
  <c r="G166" i="6"/>
  <c r="P212" i="7" s="1"/>
  <c r="R212" i="7" s="1"/>
  <c r="G168" i="6" l="1"/>
  <c r="G169" i="6" s="1"/>
  <c r="G171" i="6" s="1"/>
  <c r="R211" i="7"/>
  <c r="R213" i="7" s="1"/>
  <c r="G172" i="6" s="1"/>
  <c r="P213" i="7"/>
  <c r="G33" i="13" l="1"/>
  <c r="G173" i="6"/>
  <c r="G175" i="6" s="1"/>
  <c r="F40" i="20" l="1"/>
  <c r="G40" i="20" s="1"/>
  <c r="J40" i="20"/>
  <c r="K40" i="20" s="1"/>
  <c r="G32" i="17"/>
  <c r="G176" i="6"/>
  <c r="G34" i="13"/>
  <c r="F37" i="17" l="1"/>
  <c r="E37" i="17" s="1"/>
  <c r="E59" i="16"/>
  <c r="G182" i="6"/>
  <c r="G191" i="6" s="1"/>
  <c r="G192" i="6" s="1"/>
  <c r="G243" i="6" s="1"/>
  <c r="G245" i="6" l="1"/>
  <c r="G247" i="6" s="1"/>
  <c r="D251" i="7" s="1"/>
  <c r="G271" i="6" l="1"/>
  <c r="D252" i="7"/>
  <c r="G36" i="13"/>
  <c r="E10" i="16"/>
  <c r="F12" i="16" s="1"/>
  <c r="E8" i="16"/>
  <c r="G248" i="6"/>
  <c r="G253" i="6" s="1"/>
  <c r="D192" i="7" l="1"/>
  <c r="D122" i="6"/>
  <c r="D86" i="6"/>
  <c r="E86" i="6" l="1"/>
  <c r="F86" i="6" s="1"/>
  <c r="D209" i="6"/>
  <c r="D123" i="6"/>
  <c r="D129" i="6" s="1"/>
  <c r="V96" i="7" s="1"/>
  <c r="D179" i="6"/>
  <c r="D181" i="6" s="1"/>
  <c r="C46" i="16"/>
  <c r="C54" i="16" s="1"/>
  <c r="E25" i="13"/>
  <c r="V108" i="7" l="1"/>
  <c r="V107" i="7"/>
  <c r="V99" i="7"/>
  <c r="V98" i="7"/>
  <c r="C392" i="7"/>
  <c r="G396" i="7" s="1"/>
  <c r="N4" i="7"/>
  <c r="Q15" i="7" s="1"/>
  <c r="E179" i="6"/>
  <c r="F25" i="13"/>
  <c r="E123" i="6"/>
  <c r="E129" i="6" s="1"/>
  <c r="I29" i="20" s="1"/>
  <c r="K29" i="20" s="1"/>
  <c r="F123" i="6"/>
  <c r="F129" i="6" s="1"/>
  <c r="E29" i="20" s="1"/>
  <c r="C344" i="7"/>
  <c r="E349" i="7" s="1"/>
  <c r="D285" i="6"/>
  <c r="E210" i="6"/>
  <c r="E211" i="6"/>
  <c r="E209" i="6"/>
  <c r="D212" i="6"/>
  <c r="D213" i="6" s="1"/>
  <c r="D141" i="6"/>
  <c r="D140" i="6" s="1"/>
  <c r="D136" i="6"/>
  <c r="D133" i="6" s="1"/>
  <c r="Q16" i="7"/>
  <c r="Q17" i="7"/>
  <c r="Q31" i="7"/>
  <c r="Q32" i="7"/>
  <c r="Q33" i="7"/>
  <c r="C264" i="7"/>
  <c r="I16" i="16"/>
  <c r="D301" i="6"/>
  <c r="D658" i="6" s="1"/>
  <c r="Q96" i="7"/>
  <c r="E30" i="13"/>
  <c r="Q142" i="7"/>
  <c r="Q144" i="7" s="1"/>
  <c r="Q133" i="7"/>
  <c r="Q136" i="7" s="1"/>
  <c r="C289" i="7"/>
  <c r="V101" i="7" l="1"/>
  <c r="E397" i="7"/>
  <c r="G395" i="7"/>
  <c r="G29" i="20"/>
  <c r="F301" i="6"/>
  <c r="E181" i="6"/>
  <c r="F181" i="6" s="1"/>
  <c r="F179" i="6"/>
  <c r="F30" i="13"/>
  <c r="T5" i="7"/>
  <c r="T96" i="7"/>
  <c r="E136" i="6"/>
  <c r="T133" i="7"/>
  <c r="Q135" i="7"/>
  <c r="Q108" i="7"/>
  <c r="Q99" i="7"/>
  <c r="Q107" i="7"/>
  <c r="Q98" i="7"/>
  <c r="U18" i="7"/>
  <c r="U9" i="7"/>
  <c r="D240" i="6"/>
  <c r="F240" i="6" s="1"/>
  <c r="D241" i="6"/>
  <c r="F241" i="6" s="1"/>
  <c r="E212" i="6"/>
  <c r="D239" i="6"/>
  <c r="D28" i="19"/>
  <c r="E140" i="6"/>
  <c r="P51" i="7"/>
  <c r="P33" i="7"/>
  <c r="P25" i="7"/>
  <c r="P17" i="7"/>
  <c r="N10" i="7"/>
  <c r="B132" i="6" s="1"/>
  <c r="M10" i="7"/>
  <c r="D132" i="6" s="1"/>
  <c r="Q34" i="7"/>
  <c r="Q138" i="7"/>
  <c r="B184" i="6"/>
  <c r="B41" i="17" s="1"/>
  <c r="I20" i="16"/>
  <c r="G347" i="7"/>
  <c r="G348" i="7"/>
  <c r="Q146" i="7"/>
  <c r="Q145" i="7"/>
  <c r="F239" i="6" l="1"/>
  <c r="F242" i="6" s="1"/>
  <c r="D242" i="6"/>
  <c r="T16" i="7"/>
  <c r="T9" i="7" s="1"/>
  <c r="T17" i="7"/>
  <c r="T10" i="7" s="1"/>
  <c r="T15" i="7"/>
  <c r="T98" i="7"/>
  <c r="T99" i="7"/>
  <c r="T108" i="7"/>
  <c r="T107" i="7"/>
  <c r="F136" i="6"/>
  <c r="E133" i="6"/>
  <c r="F133" i="6" s="1"/>
  <c r="T135" i="7"/>
  <c r="T136" i="7"/>
  <c r="I131" i="6"/>
  <c r="I134" i="6" s="1"/>
  <c r="I182" i="6" s="1"/>
  <c r="I191" i="6" s="1"/>
  <c r="I192" i="6" s="1"/>
  <c r="I243" i="6" s="1"/>
  <c r="I245" i="6" s="1"/>
  <c r="I247" i="6" s="1"/>
  <c r="H131" i="6"/>
  <c r="H134" i="6" s="1"/>
  <c r="D20" i="19"/>
  <c r="D21" i="19" s="1"/>
  <c r="D24" i="19" s="1"/>
  <c r="D46" i="19" s="1"/>
  <c r="E240" i="6"/>
  <c r="E241" i="6"/>
  <c r="E239" i="6"/>
  <c r="E242" i="6" s="1"/>
  <c r="D187" i="6"/>
  <c r="U11" i="7"/>
  <c r="N9" i="7"/>
  <c r="B131" i="6" s="1"/>
  <c r="M9" i="7"/>
  <c r="D131" i="6" s="1"/>
  <c r="M8" i="7"/>
  <c r="N8" i="7"/>
  <c r="B130" i="6" s="1"/>
  <c r="Q18" i="7"/>
  <c r="C68" i="16"/>
  <c r="Q110" i="7"/>
  <c r="X34" i="7"/>
  <c r="Q101" i="7"/>
  <c r="C65" i="16" s="1"/>
  <c r="Q147" i="7"/>
  <c r="B113" i="6" s="1"/>
  <c r="N268" i="7" l="1"/>
  <c r="N279" i="7"/>
  <c r="N283" i="7"/>
  <c r="N282" i="7"/>
  <c r="N281" i="7"/>
  <c r="N280" i="7"/>
  <c r="N273" i="7"/>
  <c r="N272" i="7"/>
  <c r="N271" i="7"/>
  <c r="N270" i="7"/>
  <c r="N269" i="7"/>
  <c r="E131" i="6"/>
  <c r="F131" i="6"/>
  <c r="E132" i="6"/>
  <c r="F132" i="6"/>
  <c r="I248" i="6"/>
  <c r="I271" i="6"/>
  <c r="T101" i="7"/>
  <c r="T18" i="7"/>
  <c r="T8" i="7"/>
  <c r="T11" i="7" s="1"/>
  <c r="E256" i="6"/>
  <c r="D256" i="6"/>
  <c r="F256" i="6"/>
  <c r="M256" i="6"/>
  <c r="D184" i="6"/>
  <c r="D190" i="6" s="1"/>
  <c r="C71" i="16"/>
  <c r="H182" i="6"/>
  <c r="H191" i="6" s="1"/>
  <c r="H192" i="6" s="1"/>
  <c r="D130" i="6"/>
  <c r="D134" i="6" s="1"/>
  <c r="M11" i="7"/>
  <c r="E184" i="6" l="1"/>
  <c r="E130" i="6"/>
  <c r="E134" i="6" s="1"/>
  <c r="E182" i="6" s="1"/>
  <c r="F130" i="6"/>
  <c r="F134" i="6" s="1"/>
  <c r="F38" i="17"/>
  <c r="F48" i="17" s="1"/>
  <c r="E35" i="17"/>
  <c r="E38" i="17" s="1"/>
  <c r="D302" i="6"/>
  <c r="D182" i="6"/>
  <c r="D191" i="6" s="1"/>
  <c r="D192" i="6" s="1"/>
  <c r="D243" i="6" s="1"/>
  <c r="E190" i="6" l="1"/>
  <c r="E191" i="6" s="1"/>
  <c r="E192" i="6" s="1"/>
  <c r="F184" i="6"/>
  <c r="F190" i="6" s="1"/>
  <c r="F182" i="6"/>
  <c r="F302" i="6"/>
  <c r="F303" i="6" s="1"/>
  <c r="D245" i="6"/>
  <c r="M245" i="6"/>
  <c r="M247" i="6" s="1"/>
  <c r="F49" i="17"/>
  <c r="F62" i="17" s="1"/>
  <c r="C8" i="8"/>
  <c r="E48" i="17"/>
  <c r="D303" i="6"/>
  <c r="E660" i="6" s="1"/>
  <c r="D659" i="6"/>
  <c r="D653" i="6"/>
  <c r="F191" i="6" l="1"/>
  <c r="F192" i="6" s="1"/>
  <c r="F243" i="6" s="1"/>
  <c r="F245" i="6" s="1"/>
  <c r="F247" i="6" s="1"/>
  <c r="M271" i="6"/>
  <c r="M248" i="6"/>
  <c r="E49" i="17"/>
  <c r="E62" i="17" s="1"/>
  <c r="E7" i="17"/>
  <c r="F7" i="17" s="1"/>
  <c r="D247" i="6"/>
  <c r="C251" i="7" s="1"/>
  <c r="C7" i="8" s="1"/>
  <c r="C8" i="16"/>
  <c r="M279" i="7" l="1"/>
  <c r="M268" i="7"/>
  <c r="M283" i="7"/>
  <c r="M282" i="7"/>
  <c r="M281" i="7"/>
  <c r="M280" i="7"/>
  <c r="M273" i="7"/>
  <c r="M272" i="7"/>
  <c r="M271" i="7"/>
  <c r="M270" i="7"/>
  <c r="M269" i="7"/>
  <c r="F248" i="6"/>
  <c r="F271" i="6"/>
  <c r="D271" i="6"/>
  <c r="C252" i="7"/>
  <c r="C11" i="8"/>
  <c r="E11" i="8" s="1"/>
  <c r="E6" i="17"/>
  <c r="E8" i="17" s="1"/>
  <c r="F8" i="17" s="1"/>
  <c r="C10" i="16"/>
  <c r="D12" i="16" s="1"/>
  <c r="E36" i="13"/>
  <c r="D248" i="6"/>
  <c r="D253" i="6" s="1"/>
  <c r="F6" i="8" l="1"/>
  <c r="E18" i="8"/>
  <c r="E19" i="8" s="1"/>
  <c r="D18" i="8"/>
  <c r="D19" i="8" s="1"/>
  <c r="F6" i="17"/>
  <c r="C285" i="7"/>
  <c r="D285" i="7" l="1"/>
  <c r="D20" i="8" l="1"/>
  <c r="D21" i="8"/>
  <c r="D23" i="8"/>
  <c r="F29" i="8" l="1"/>
  <c r="F38" i="8"/>
  <c r="F40" i="8"/>
  <c r="F39" i="8"/>
  <c r="F30" i="8"/>
  <c r="K30" i="8" s="1"/>
  <c r="F37" i="8"/>
  <c r="G37" i="8" s="1"/>
  <c r="H37" i="8" s="1"/>
  <c r="F35" i="8"/>
  <c r="F36" i="8"/>
  <c r="F33" i="8"/>
  <c r="F31" i="8"/>
  <c r="F34" i="8"/>
  <c r="F32" i="8"/>
  <c r="E10" i="17"/>
  <c r="E11" i="17" s="1"/>
  <c r="E19" i="13"/>
  <c r="D22" i="8"/>
  <c r="P29" i="8" l="1"/>
  <c r="AG29" i="8"/>
  <c r="K29" i="8"/>
  <c r="S38" i="8"/>
  <c r="T38" i="8"/>
  <c r="G38" i="8"/>
  <c r="H38" i="8" s="1"/>
  <c r="R38" i="8"/>
  <c r="L38" i="8"/>
  <c r="Q38" i="8"/>
  <c r="M38" i="8"/>
  <c r="K38" i="8"/>
  <c r="P38" i="8"/>
  <c r="AI38" i="8"/>
  <c r="AJ38" i="8"/>
  <c r="AE38" i="8"/>
  <c r="N38" i="8"/>
  <c r="O38" i="8"/>
  <c r="U38" i="8" s="1"/>
  <c r="AF38" i="8"/>
  <c r="AG38" i="8"/>
  <c r="AD38" i="8"/>
  <c r="AK38" i="8"/>
  <c r="G40" i="8"/>
  <c r="H40" i="8" s="1"/>
  <c r="R40" i="8"/>
  <c r="S40" i="8"/>
  <c r="L40" i="8"/>
  <c r="T40" i="8"/>
  <c r="Q40" i="8"/>
  <c r="M40" i="8"/>
  <c r="K40" i="8"/>
  <c r="AD40" i="8"/>
  <c r="AE40" i="8"/>
  <c r="AF40" i="8"/>
  <c r="AG40" i="8"/>
  <c r="P40" i="8"/>
  <c r="N40" i="8"/>
  <c r="O40" i="8"/>
  <c r="AI40" i="8"/>
  <c r="AJ40" i="8"/>
  <c r="AK40" i="8"/>
  <c r="L39" i="8"/>
  <c r="R39" i="8"/>
  <c r="G39" i="8"/>
  <c r="H39" i="8" s="1"/>
  <c r="T39" i="8"/>
  <c r="S39" i="8"/>
  <c r="M39" i="8"/>
  <c r="Q39" i="8"/>
  <c r="K39" i="8"/>
  <c r="AD39" i="8"/>
  <c r="AE39" i="8"/>
  <c r="AF39" i="8"/>
  <c r="AG39" i="8"/>
  <c r="N39" i="8"/>
  <c r="P39" i="8"/>
  <c r="O39" i="8"/>
  <c r="AI39" i="8"/>
  <c r="AJ39" i="8"/>
  <c r="AK39" i="8"/>
  <c r="AG30" i="8"/>
  <c r="AK30" i="8"/>
  <c r="P30" i="8"/>
  <c r="AK37" i="8"/>
  <c r="AJ37" i="8"/>
  <c r="AI37" i="8"/>
  <c r="O37" i="8"/>
  <c r="P37" i="8"/>
  <c r="AF37" i="8"/>
  <c r="AD37" i="8"/>
  <c r="AG37" i="8"/>
  <c r="N37" i="8"/>
  <c r="AE37" i="8"/>
  <c r="AG35" i="8"/>
  <c r="P35" i="8"/>
  <c r="AG33" i="8"/>
  <c r="P33" i="8"/>
  <c r="P34" i="8"/>
  <c r="AG34" i="8"/>
  <c r="AG32" i="8"/>
  <c r="P32" i="8"/>
  <c r="M37" i="8"/>
  <c r="Q37" i="8"/>
  <c r="R37" i="8"/>
  <c r="K37" i="8"/>
  <c r="G35" i="8"/>
  <c r="H35" i="8" s="1"/>
  <c r="K36" i="8"/>
  <c r="K33" i="8"/>
  <c r="K34" i="8"/>
  <c r="K32" i="8"/>
  <c r="K31" i="8"/>
  <c r="K35" i="8"/>
  <c r="G36" i="8"/>
  <c r="H36" i="8" s="1"/>
  <c r="G34" i="8"/>
  <c r="H34" i="8" s="1"/>
  <c r="D263" i="6"/>
  <c r="G263" i="6"/>
  <c r="G31" i="8"/>
  <c r="H31" i="8" s="1"/>
  <c r="G32" i="8"/>
  <c r="H32" i="8" s="1"/>
  <c r="G33" i="8"/>
  <c r="H33" i="8" s="1"/>
  <c r="F41" i="8"/>
  <c r="G30" i="8"/>
  <c r="H30" i="8" s="1"/>
  <c r="F10" i="17"/>
  <c r="G29" i="8"/>
  <c r="E12" i="17"/>
  <c r="F11" i="17"/>
  <c r="U39" i="8" l="1"/>
  <c r="U40" i="8"/>
  <c r="G41" i="8"/>
  <c r="H29" i="8"/>
  <c r="K41" i="8"/>
  <c r="E15" i="17"/>
  <c r="F12" i="17"/>
  <c r="AH9" i="8" l="1"/>
  <c r="U9" i="8"/>
  <c r="H41" i="8"/>
  <c r="F15" i="17"/>
  <c r="T37" i="8" l="1"/>
  <c r="S37" i="8"/>
  <c r="U37" i="8" s="1"/>
  <c r="T30" i="8" l="1"/>
  <c r="Z92" i="7"/>
  <c r="Z31" i="7" l="1"/>
  <c r="Z32" i="7"/>
  <c r="AA32" i="7" s="1"/>
  <c r="Z33" i="7"/>
  <c r="AA31" i="7" l="1"/>
  <c r="Z34" i="7"/>
  <c r="AA33" i="7"/>
  <c r="AA34" i="7" l="1"/>
  <c r="L37" i="8" l="1"/>
  <c r="Z110" i="7"/>
  <c r="H222" i="6"/>
  <c r="N245" i="6"/>
  <c r="N247" i="6" s="1"/>
  <c r="H224" i="6" l="1"/>
  <c r="N271" i="6"/>
  <c r="N248" i="6"/>
  <c r="H243" i="6" l="1"/>
  <c r="H245" i="6" s="1"/>
  <c r="H247" i="6" s="1"/>
  <c r="H35" i="13"/>
  <c r="D279" i="7" l="1"/>
  <c r="D268" i="7"/>
  <c r="H271" i="6"/>
  <c r="N275" i="7"/>
  <c r="N254" i="7" s="1"/>
  <c r="D280" i="7"/>
  <c r="D273" i="7"/>
  <c r="D271" i="7"/>
  <c r="D283" i="7"/>
  <c r="D282" i="7"/>
  <c r="D281" i="7"/>
  <c r="D272" i="7"/>
  <c r="E27" i="19"/>
  <c r="E29" i="19" s="1"/>
  <c r="E30" i="19" s="1"/>
  <c r="E31" i="19" s="1"/>
  <c r="H36" i="13"/>
  <c r="H248" i="6"/>
  <c r="D269" i="7"/>
  <c r="D270" i="7"/>
  <c r="N255" i="7" l="1"/>
  <c r="D275" i="7"/>
  <c r="D254" i="7" s="1"/>
  <c r="N256" i="7" l="1"/>
  <c r="I253" i="6" s="1"/>
  <c r="I252" i="6"/>
  <c r="D255" i="7"/>
  <c r="G252" i="6" l="1"/>
  <c r="G268" i="6" s="1"/>
  <c r="G37" i="13" s="1"/>
  <c r="N252" i="6"/>
  <c r="H252" i="6"/>
  <c r="D256" i="7"/>
  <c r="I263" i="6" s="1"/>
  <c r="I268" i="6" s="1"/>
  <c r="I273" i="6" l="1"/>
  <c r="I278" i="6" s="1"/>
  <c r="I286" i="6" s="1"/>
  <c r="I287" i="6" s="1"/>
  <c r="I272" i="6"/>
  <c r="G273" i="6"/>
  <c r="E5" i="16"/>
  <c r="G272" i="6"/>
  <c r="N253" i="6"/>
  <c r="N263" i="6" s="1"/>
  <c r="N268" i="6" s="1"/>
  <c r="H253" i="6"/>
  <c r="H263" i="6" s="1"/>
  <c r="H268" i="6" s="1"/>
  <c r="G274" i="6" l="1"/>
  <c r="G288" i="6"/>
  <c r="G289" i="6" s="1"/>
  <c r="AH7" i="8"/>
  <c r="G38" i="13"/>
  <c r="F4" i="16"/>
  <c r="G278" i="6"/>
  <c r="N272" i="6"/>
  <c r="N273" i="6"/>
  <c r="N278" i="6" s="1"/>
  <c r="N286" i="6" s="1"/>
  <c r="H37" i="13"/>
  <c r="H273" i="6"/>
  <c r="H272" i="6"/>
  <c r="H278" i="6" l="1"/>
  <c r="H38" i="13"/>
  <c r="G286" i="6"/>
  <c r="G39" i="13"/>
  <c r="G287" i="6" l="1"/>
  <c r="H39" i="13"/>
  <c r="H286" i="6"/>
  <c r="H287" i="6" s="1"/>
  <c r="U7" i="8" l="1"/>
  <c r="E222" i="6" l="1"/>
  <c r="E224" i="6" s="1"/>
  <c r="E301" i="7"/>
  <c r="F35" i="13" l="1"/>
  <c r="E243" i="6"/>
  <c r="E245" i="6" s="1"/>
  <c r="E247" i="6" s="1"/>
  <c r="C268" i="7" l="1"/>
  <c r="C279" i="7"/>
  <c r="M275" i="7"/>
  <c r="M254" i="7" s="1"/>
  <c r="M255" i="7" s="1"/>
  <c r="C273" i="7"/>
  <c r="C269" i="7"/>
  <c r="D27" i="19"/>
  <c r="D29" i="19" s="1"/>
  <c r="D30" i="19" s="1"/>
  <c r="D31" i="19" s="1"/>
  <c r="C283" i="7"/>
  <c r="C282" i="7"/>
  <c r="E271" i="6"/>
  <c r="C270" i="7"/>
  <c r="F36" i="13"/>
  <c r="C271" i="7"/>
  <c r="C281" i="7"/>
  <c r="E248" i="6"/>
  <c r="C272" i="7"/>
  <c r="C280" i="7"/>
  <c r="M256" i="7" l="1"/>
  <c r="F253" i="6" s="1"/>
  <c r="F252" i="6"/>
  <c r="C275" i="7"/>
  <c r="C254" i="7" s="1"/>
  <c r="C255" i="7" s="1"/>
  <c r="C256" i="7" l="1"/>
  <c r="E252" i="6"/>
  <c r="D252" i="6"/>
  <c r="D268" i="6" s="1"/>
  <c r="E253" i="6" l="1"/>
  <c r="E263" i="6" s="1"/>
  <c r="E268" i="6" s="1"/>
  <c r="E273" i="6" s="1"/>
  <c r="M253" i="6"/>
  <c r="M263" i="6" s="1"/>
  <c r="M268" i="6" s="1"/>
  <c r="F263" i="6"/>
  <c r="F268" i="6" s="1"/>
  <c r="C5" i="16"/>
  <c r="E37" i="13"/>
  <c r="D272" i="6"/>
  <c r="D288" i="6" s="1"/>
  <c r="D289" i="6" s="1"/>
  <c r="D273" i="6"/>
  <c r="M272" i="6" l="1"/>
  <c r="M273" i="6"/>
  <c r="M278" i="6" s="1"/>
  <c r="M286" i="6" s="1"/>
  <c r="E278" i="6"/>
  <c r="F38" i="13"/>
  <c r="E38" i="13"/>
  <c r="D4" i="16"/>
  <c r="D278" i="6"/>
  <c r="F37" i="13"/>
  <c r="E272" i="6"/>
  <c r="F272" i="6"/>
  <c r="F273" i="6"/>
  <c r="F278" i="6" s="1"/>
  <c r="F286" i="6" s="1"/>
  <c r="F39" i="13" l="1"/>
  <c r="E286" i="6"/>
  <c r="E39" i="13"/>
  <c r="D286" i="6"/>
  <c r="AH6" i="8"/>
  <c r="F287" i="6"/>
  <c r="U6" i="8" l="1"/>
  <c r="E287" i="6"/>
  <c r="D287" i="6"/>
  <c r="AH8" i="8"/>
  <c r="AI6" i="8" s="1"/>
  <c r="U8" i="8" l="1"/>
  <c r="V6" i="8" s="1"/>
  <c r="AH10" i="8"/>
  <c r="AI7" i="8"/>
  <c r="AI8" i="8" s="1"/>
  <c r="AH37" i="8" l="1"/>
  <c r="AH38" i="8"/>
  <c r="AH40" i="8"/>
  <c r="AH39" i="8"/>
  <c r="U10" i="8"/>
  <c r="V7" i="8"/>
  <c r="V8" i="8" s="1"/>
  <c r="AG10" i="8"/>
  <c r="AD29" i="8"/>
  <c r="AH11" i="8"/>
  <c r="AH12" i="8" s="1"/>
  <c r="AD32" i="8"/>
  <c r="AD34" i="8"/>
  <c r="AH31" i="8"/>
  <c r="AH33" i="8"/>
  <c r="AD33" i="8"/>
  <c r="AH36" i="8"/>
  <c r="AD36" i="8"/>
  <c r="AH35" i="8"/>
  <c r="AH30" i="8"/>
  <c r="AD30" i="8"/>
  <c r="AH29" i="8"/>
  <c r="AH32" i="8"/>
  <c r="AH34" i="8"/>
  <c r="AD31" i="8"/>
  <c r="AD35" i="8"/>
  <c r="Q36" i="8" l="1"/>
  <c r="Q35" i="8"/>
  <c r="M30" i="8"/>
  <c r="Q29" i="8"/>
  <c r="U11" i="8"/>
  <c r="U12" i="8" s="1"/>
  <c r="T10" i="8"/>
  <c r="M32" i="8"/>
  <c r="Q34" i="8"/>
  <c r="M34" i="8"/>
  <c r="Q31" i="8"/>
  <c r="Q32" i="8"/>
  <c r="M31" i="8"/>
  <c r="Q33" i="8"/>
  <c r="M33" i="8"/>
  <c r="M36" i="8"/>
  <c r="M35" i="8"/>
  <c r="Q30" i="8"/>
  <c r="M29" i="8"/>
  <c r="AD41" i="8"/>
  <c r="AH41" i="8"/>
  <c r="L33" i="8" l="1"/>
  <c r="AF33" i="8" s="1"/>
  <c r="L29" i="8"/>
  <c r="L35" i="8"/>
  <c r="L30" i="8"/>
  <c r="L31" i="8"/>
  <c r="AF31" i="8" s="1"/>
  <c r="L32" i="8"/>
  <c r="L34" i="8"/>
  <c r="L36" i="8"/>
  <c r="AJ36" i="8" s="1"/>
  <c r="Q41" i="8"/>
  <c r="O33" i="8"/>
  <c r="M41" i="8"/>
  <c r="AK33" i="8"/>
  <c r="AG31" i="8"/>
  <c r="AK36" i="8"/>
  <c r="AJ33" i="8" l="1"/>
  <c r="AI33" i="8" s="1"/>
  <c r="AE33" i="8"/>
  <c r="L41" i="8"/>
  <c r="O29" i="8"/>
  <c r="N29" i="8" s="1"/>
  <c r="AF29" i="8"/>
  <c r="AJ29" i="8"/>
  <c r="AI29" i="8" s="1"/>
  <c r="AF35" i="8"/>
  <c r="AE35" i="8" s="1"/>
  <c r="O35" i="8"/>
  <c r="O30" i="8"/>
  <c r="S30" i="8"/>
  <c r="R30" i="8" s="1"/>
  <c r="AF30" i="8"/>
  <c r="AE30" i="8" s="1"/>
  <c r="AJ30" i="8"/>
  <c r="AI30" i="8" s="1"/>
  <c r="AF32" i="8"/>
  <c r="O32" i="8"/>
  <c r="N32" i="8" s="1"/>
  <c r="AF34" i="8"/>
  <c r="O34" i="8"/>
  <c r="AI36" i="8"/>
  <c r="AG36" i="8"/>
  <c r="AG41" i="8" s="1"/>
  <c r="AF36" i="8"/>
  <c r="AE36" i="8" s="1"/>
  <c r="S29" i="8"/>
  <c r="T29" i="8"/>
  <c r="AE31" i="8"/>
  <c r="AK31" i="8"/>
  <c r="AJ31" i="8"/>
  <c r="AI31" i="8" s="1"/>
  <c r="N33" i="8"/>
  <c r="S32" i="8"/>
  <c r="R32" i="8" s="1"/>
  <c r="T32" i="8"/>
  <c r="P31" i="8"/>
  <c r="O31" i="8"/>
  <c r="S33" i="8"/>
  <c r="T33" i="8"/>
  <c r="S36" i="8"/>
  <c r="T36" i="8"/>
  <c r="U33" i="8" l="1"/>
  <c r="R33" i="8"/>
  <c r="N34" i="8"/>
  <c r="S34" i="8"/>
  <c r="T34" i="8"/>
  <c r="AK29" i="8"/>
  <c r="AE29" i="8"/>
  <c r="N35" i="8"/>
  <c r="S35" i="8"/>
  <c r="T35" i="8"/>
  <c r="AK35" i="8"/>
  <c r="AJ35" i="8"/>
  <c r="AI35" i="8" s="1"/>
  <c r="AE32" i="8"/>
  <c r="AJ32" i="8"/>
  <c r="AI32" i="8" s="1"/>
  <c r="AK32" i="8"/>
  <c r="AE34" i="8"/>
  <c r="AK34" i="8"/>
  <c r="AJ34" i="8"/>
  <c r="AI34" i="8" s="1"/>
  <c r="AF41" i="8"/>
  <c r="U30" i="8"/>
  <c r="N30" i="8"/>
  <c r="U29" i="8"/>
  <c r="R29" i="8"/>
  <c r="R36" i="8"/>
  <c r="P36" i="8"/>
  <c r="P41" i="8" s="1"/>
  <c r="O36" i="8"/>
  <c r="N36" i="8" s="1"/>
  <c r="N31" i="8"/>
  <c r="T31" i="8"/>
  <c r="S31" i="8"/>
  <c r="R31" i="8" s="1"/>
  <c r="U32" i="8"/>
  <c r="AI41" i="8" l="1"/>
  <c r="U35" i="8"/>
  <c r="R35" i="8"/>
  <c r="U34" i="8"/>
  <c r="R34" i="8"/>
  <c r="AE41" i="8"/>
  <c r="F292" i="6" s="1"/>
  <c r="N41" i="8"/>
  <c r="AJ41" i="8"/>
  <c r="T41" i="8"/>
  <c r="F293" i="6"/>
  <c r="F291" i="6"/>
  <c r="AK41" i="8"/>
  <c r="U36" i="8"/>
  <c r="O41" i="8"/>
  <c r="U31" i="8"/>
  <c r="S41" i="8"/>
  <c r="R41" i="8" l="1"/>
  <c r="G292" i="6" s="1"/>
  <c r="F294" i="6"/>
  <c r="F297" i="6" s="1"/>
  <c r="E15" i="16"/>
  <c r="F16" i="16" s="1"/>
  <c r="F18" i="16" s="1"/>
  <c r="C15" i="16"/>
  <c r="D16" i="16" s="1"/>
  <c r="D18" i="16" s="1"/>
  <c r="I293" i="6"/>
  <c r="I291" i="6"/>
  <c r="I292" i="6"/>
  <c r="D293" i="6"/>
  <c r="D291" i="6"/>
  <c r="D292" i="6"/>
  <c r="G293" i="6"/>
  <c r="G291" i="6"/>
  <c r="I294" i="6" l="1"/>
  <c r="I297" i="6" s="1"/>
  <c r="E394" i="7"/>
  <c r="F398" i="7" s="1"/>
  <c r="F304" i="6"/>
  <c r="F307" i="6" s="1"/>
  <c r="F21" i="16"/>
  <c r="D21" i="16" s="1"/>
  <c r="D20" i="16"/>
  <c r="G294" i="6"/>
  <c r="E17" i="13"/>
  <c r="C90" i="16"/>
  <c r="E15" i="13"/>
  <c r="C92" i="16"/>
  <c r="D294" i="6"/>
  <c r="D297" i="6" s="1"/>
  <c r="E16" i="13"/>
  <c r="C91" i="16"/>
  <c r="F17" i="13"/>
  <c r="E90" i="16"/>
  <c r="E96" i="16" s="1"/>
  <c r="E92" i="16"/>
  <c r="F15" i="13"/>
  <c r="F16" i="13"/>
  <c r="E91" i="16"/>
  <c r="D23" i="16" l="1"/>
  <c r="F23" i="16" s="1"/>
  <c r="E417" i="7"/>
  <c r="F431" i="7" s="1"/>
  <c r="F434" i="7" s="1"/>
  <c r="I306" i="6" s="1"/>
  <c r="I304" i="6"/>
  <c r="F399" i="7"/>
  <c r="E400" i="7"/>
  <c r="G398" i="7"/>
  <c r="C403" i="7"/>
  <c r="E403" i="7" s="1"/>
  <c r="E63" i="17"/>
  <c r="G297" i="6"/>
  <c r="E95" i="16"/>
  <c r="E97" i="16" s="1"/>
  <c r="F97" i="16" s="1"/>
  <c r="C96" i="16"/>
  <c r="C95" i="16"/>
  <c r="E18" i="13"/>
  <c r="E11" i="13"/>
  <c r="F11" i="13" s="1"/>
  <c r="D298" i="6"/>
  <c r="E346" i="7"/>
  <c r="F350" i="7" s="1"/>
  <c r="B304" i="6"/>
  <c r="D304" i="6"/>
  <c r="D652" i="6"/>
  <c r="F18" i="13"/>
  <c r="F404" i="7" l="1"/>
  <c r="G404" i="7" s="1"/>
  <c r="I305" i="6"/>
  <c r="I307" i="6"/>
  <c r="F405" i="7"/>
  <c r="E406" i="7"/>
  <c r="F408" i="7" s="1"/>
  <c r="F411" i="7" s="1"/>
  <c r="F306" i="6" s="1"/>
  <c r="D307" i="6"/>
  <c r="F63" i="17"/>
  <c r="F64" i="17" s="1"/>
  <c r="E352" i="7"/>
  <c r="C355" i="7"/>
  <c r="C97" i="16"/>
  <c r="D97" i="16" s="1"/>
  <c r="G304" i="6"/>
  <c r="G298" i="6"/>
  <c r="E369" i="7"/>
  <c r="F383" i="7" s="1"/>
  <c r="F386" i="7" s="1"/>
  <c r="G350" i="7"/>
  <c r="F351" i="7"/>
  <c r="E657" i="6"/>
  <c r="E661" i="6" s="1"/>
  <c r="E654" i="6"/>
  <c r="E355" i="7" l="1"/>
  <c r="F356" i="7" s="1"/>
  <c r="F65" i="17"/>
  <c r="W96" i="7" s="1"/>
  <c r="G306" i="6"/>
  <c r="G305" i="6" s="1"/>
  <c r="G307" i="6"/>
  <c r="E64" i="17"/>
  <c r="E65" i="17" s="1"/>
  <c r="E662" i="6"/>
  <c r="D667" i="6"/>
  <c r="F32" i="20"/>
  <c r="F305" i="6"/>
  <c r="E358" i="7" l="1"/>
  <c r="F360" i="7" s="1"/>
  <c r="G356" i="7"/>
  <c r="F357" i="7"/>
  <c r="W99" i="7"/>
  <c r="W108" i="7"/>
  <c r="W107" i="7"/>
  <c r="W98" i="7"/>
  <c r="F66" i="17"/>
  <c r="E663" i="6"/>
  <c r="B663" i="6"/>
  <c r="E32" i="20"/>
  <c r="F38" i="20"/>
  <c r="F41" i="20" s="1"/>
  <c r="F44" i="20" s="1"/>
  <c r="F45" i="20" s="1"/>
  <c r="F46" i="20" s="1"/>
  <c r="F363" i="7" l="1"/>
  <c r="D306" i="6" s="1"/>
  <c r="W101" i="7"/>
  <c r="E66" i="17"/>
  <c r="G32" i="20"/>
  <c r="G38" i="20" s="1"/>
  <c r="G41" i="20" s="1"/>
  <c r="G44" i="20" s="1"/>
  <c r="G45" i="20" s="1"/>
  <c r="G46" i="20" s="1"/>
  <c r="C295" i="7" s="1"/>
  <c r="E38" i="20"/>
  <c r="E41" i="20" s="1"/>
  <c r="E44" i="20" s="1"/>
  <c r="E45" i="20" s="1"/>
  <c r="E46" i="20" s="1"/>
  <c r="J32" i="20" l="1"/>
  <c r="D305" i="6"/>
  <c r="F6" i="13"/>
  <c r="Z99" i="7"/>
  <c r="Z107" i="7"/>
  <c r="Z108" i="7"/>
  <c r="Z98" i="7"/>
  <c r="Z83" i="7"/>
  <c r="Z90" i="7"/>
  <c r="Z82" i="7"/>
  <c r="Z91" i="7"/>
  <c r="J38" i="20" l="1"/>
  <c r="J41" i="20" s="1"/>
  <c r="J44" i="20" s="1"/>
  <c r="J45" i="20" s="1"/>
  <c r="J46" i="20" s="1"/>
  <c r="I32" i="20"/>
  <c r="Z84" i="7"/>
  <c r="F67" i="17" s="1"/>
  <c r="E67" i="17" s="1"/>
  <c r="F19" i="16"/>
  <c r="E6" i="13"/>
  <c r="D300" i="7"/>
  <c r="Z101" i="7"/>
  <c r="F68" i="17"/>
  <c r="K32" i="20" l="1"/>
  <c r="K38" i="20" s="1"/>
  <c r="K41" i="20" s="1"/>
  <c r="K44" i="20" s="1"/>
  <c r="K45" i="20" s="1"/>
  <c r="K46" i="20" s="1"/>
  <c r="I38" i="20"/>
  <c r="I41" i="20" s="1"/>
  <c r="I44" i="20" s="1"/>
  <c r="I45" i="20" s="1"/>
  <c r="I46" i="20" s="1"/>
  <c r="F22" i="16"/>
  <c r="F20" i="16"/>
  <c r="C300" i="7"/>
  <c r="E300" i="7" s="1"/>
  <c r="F16" i="17"/>
  <c r="E68" i="17"/>
  <c r="E16" i="17" l="1"/>
  <c r="E17" i="17" s="1"/>
  <c r="F17" i="17"/>
  <c r="Z5" i="7" s="1"/>
  <c r="Z15" i="7" l="1"/>
  <c r="Z16" i="7"/>
  <c r="AA16" i="7" s="1"/>
  <c r="AA9" i="7" s="1"/>
  <c r="AA15" i="7" l="1"/>
  <c r="AA8" i="7" s="1"/>
  <c r="Z8" i="7"/>
  <c r="Z17" i="7"/>
  <c r="Z10" i="7" s="1"/>
  <c r="Z9" i="7"/>
  <c r="Z11" i="7" l="1"/>
  <c r="Z18" i="7"/>
  <c r="AA17" i="7"/>
  <c r="AA10" i="7" l="1"/>
  <c r="AA11" i="7" s="1"/>
  <c r="F18" i="17" s="1"/>
  <c r="AA18" i="7"/>
  <c r="E18" i="17" l="1"/>
  <c r="E7" i="13" s="1"/>
  <c r="F7" i="13"/>
  <c r="X110" i="7"/>
  <c r="F39" i="16"/>
  <c r="J20" i="16"/>
  <c r="F8" i="13"/>
  <c r="D76" i="16"/>
  <c r="D101" i="16"/>
  <c r="C55" i="16"/>
  <c r="C56" i="16" s="1"/>
  <c r="E55" i="16"/>
  <c r="E56" i="16" s="1"/>
  <c r="F60" i="16" s="1"/>
  <c r="E61" i="16" s="1"/>
  <c r="D60" i="16" l="1"/>
  <c r="C61" i="16" s="1"/>
  <c r="I54" i="16"/>
  <c r="F40" i="16"/>
  <c r="D39" i="16"/>
  <c r="D40" i="16" s="1"/>
  <c r="Y96" i="7"/>
  <c r="Y5" i="7"/>
  <c r="E8" i="13"/>
  <c r="E10" i="13" s="1"/>
  <c r="E12" i="13" s="1"/>
  <c r="F10" i="13"/>
  <c r="F12" i="13" s="1"/>
  <c r="X96" i="7"/>
  <c r="X5" i="7"/>
  <c r="Y98" i="7" l="1"/>
  <c r="Y108" i="7"/>
  <c r="Y99" i="7"/>
  <c r="Y101" i="7" s="1"/>
  <c r="Y107" i="7"/>
  <c r="Y17" i="7"/>
  <c r="Y10" i="7" s="1"/>
  <c r="Y16" i="7"/>
  <c r="Y9" i="7" s="1"/>
  <c r="Y15" i="7"/>
  <c r="X107" i="7"/>
  <c r="X99" i="7"/>
  <c r="X98" i="7"/>
  <c r="X108" i="7"/>
  <c r="X15" i="7"/>
  <c r="X16" i="7"/>
  <c r="X9" i="7" s="1"/>
  <c r="X17" i="7"/>
  <c r="X10" i="7" s="1"/>
  <c r="Y18" i="7" l="1"/>
  <c r="Y8" i="7"/>
  <c r="Y11" i="7" s="1"/>
  <c r="E57" i="16" s="1"/>
  <c r="E62" i="16" s="1"/>
  <c r="F72" i="16" s="1"/>
  <c r="F75" i="16" s="1"/>
  <c r="F77" i="16" s="1"/>
  <c r="F102" i="16" s="1"/>
  <c r="X101" i="7"/>
  <c r="X8" i="7"/>
  <c r="X11" i="7" s="1"/>
  <c r="C57" i="16" s="1"/>
  <c r="C62" i="16" s="1"/>
  <c r="D72" i="16" s="1"/>
  <c r="D75" i="16" s="1"/>
  <c r="D77" i="16" s="1"/>
  <c r="D102" i="16" s="1"/>
  <c r="X18" i="7"/>
  <c r="F24" i="16" l="1"/>
  <c r="J21" i="16"/>
  <c r="I21" i="16"/>
  <c r="G24" i="16"/>
  <c r="H24" i="16" s="1"/>
  <c r="D24" i="16"/>
  <c r="J22" i="16" l="1"/>
  <c r="K21" i="16"/>
  <c r="I22" i="16"/>
  <c r="L21" i="16" l="1"/>
  <c r="G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100" authorId="1" shapeId="0" xr:uid="{1FFC67C7-EB4B-4197-AAFC-4AA83D1B192C}">
      <text>
        <r>
          <rPr>
            <b/>
            <sz val="9"/>
            <color indexed="81"/>
            <rFont val="Tahoma"/>
            <family val="2"/>
          </rPr>
          <t>Betreft hier aanvullende, collectief door de werkgeven ingehouden WAO/WIA-gat premie (zoals AP/AOP)</t>
        </r>
      </text>
    </comment>
    <comment ref="B112" authorId="1" shapeId="0" xr:uid="{00000000-0006-0000-0000-000007000000}">
      <text>
        <r>
          <rPr>
            <sz val="9"/>
            <color indexed="81"/>
            <rFont val="Tahoma"/>
            <family val="2"/>
          </rPr>
          <t>Betreft hier aanvullende, collectief door de werkgever ingehouden WAO/WIA-gat premie (zoals AP/AOP)</t>
        </r>
      </text>
    </comment>
    <comment ref="F308" authorId="1" shapeId="0" xr:uid="{00000000-0006-0000-0000-00000A000000}">
      <text>
        <r>
          <rPr>
            <sz val="9"/>
            <color indexed="81"/>
            <rFont val="Tahoma"/>
            <family val="2"/>
          </rPr>
          <t>Bijv. extra ZKV premie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<sst xmlns="http://schemas.openxmlformats.org/spreadsheetml/2006/main" count="2374" uniqueCount="1164">
  <si>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</si>
  <si>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</si>
  <si>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</si>
  <si>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</si>
  <si>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</si>
  <si>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</si>
  <si>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</si>
  <si>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</si>
  <si>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</si>
  <si>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</si>
  <si>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</si>
  <si>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</si>
  <si>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</si>
  <si>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</si>
  <si>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</si>
  <si>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</si>
  <si>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</si>
  <si>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</si>
  <si>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</si>
  <si>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</si>
  <si>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</si>
  <si>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</si>
  <si>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</si>
  <si>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</si>
  <si>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</si>
  <si>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</si>
  <si>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</si>
  <si>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</si>
  <si>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</si>
  <si>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</si>
  <si>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</si>
  <si>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</si>
  <si>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</si>
  <si>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</si>
  <si>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</si>
  <si>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</si>
  <si>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</si>
  <si>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</si>
  <si>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</si>
  <si>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</si>
  <si>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</si>
  <si>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</si>
  <si>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</si>
  <si>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</si>
  <si>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</si>
  <si>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</si>
  <si>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</si>
  <si>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</si>
  <si>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</si>
  <si>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</si>
  <si>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</si>
  <si>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</si>
  <si>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</si>
  <si>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</si>
  <si>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</si>
  <si>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</si>
  <si>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</si>
  <si>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</si>
  <si>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</si>
  <si>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</si>
  <si>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</si>
  <si>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</si>
  <si>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</si>
  <si>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</si>
  <si>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</si>
  <si>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</si>
  <si>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</si>
  <si>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</si>
  <si>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</si>
  <si>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</si>
  <si>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</si>
  <si>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</si>
  <si>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</si>
  <si>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</si>
  <si>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</si>
  <si>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</si>
  <si>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</si>
  <si>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</si>
  <si>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</si>
  <si>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</si>
  <si>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</si>
  <si>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</si>
  <si>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</si>
  <si>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</si>
  <si>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</si>
  <si>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</si>
  <si>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</si>
  <si>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</si>
  <si>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</si>
  <si>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</si>
  <si>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</si>
  <si>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</si>
  <si>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</si>
  <si>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</si>
  <si>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</si>
  <si>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</si>
  <si>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</si>
  <si>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</si>
  <si>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</si>
  <si>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</si>
  <si>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</si>
  <si>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</si>
  <si>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</si>
  <si>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</si>
  <si>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</si>
  <si>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</si>
  <si>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</si>
  <si>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</si>
  <si>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</si>
  <si>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</si>
  <si>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</si>
  <si>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</si>
  <si>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</si>
  <si>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</si>
  <si>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</si>
  <si>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Vast bedrag</t>
  </si>
  <si>
    <t>Totalen:</t>
  </si>
  <si>
    <t>Formules</t>
  </si>
  <si>
    <t>- arbeidskorting</t>
  </si>
  <si>
    <t>- algemene heffingskorting</t>
  </si>
  <si>
    <t>Rendementsgrondslag</t>
  </si>
  <si>
    <t>Geen</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</si>
  <si>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</si>
  <si>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</si>
  <si>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</si>
  <si>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</si>
  <si>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</si>
  <si>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</si>
  <si>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</si>
  <si>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</si>
  <si>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</si>
  <si>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</si>
  <si>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</si>
  <si>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</si>
  <si>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</si>
  <si>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</si>
  <si>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</si>
  <si>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</si>
  <si>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</si>
  <si>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</si>
  <si>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</si>
  <si>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</si>
  <si>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</si>
  <si>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</si>
  <si>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</si>
  <si>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</si>
  <si>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</si>
  <si>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</si>
  <si>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</si>
  <si>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</si>
  <si>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</si>
  <si>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</si>
  <si>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</si>
  <si>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</si>
  <si>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</si>
  <si>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</si>
  <si>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</si>
  <si>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</si>
  <si>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</si>
  <si>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</si>
  <si>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</si>
  <si>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</si>
  <si>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</si>
  <si>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</si>
  <si>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</si>
  <si>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</si>
  <si>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</si>
  <si>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</si>
  <si>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</si>
  <si>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</si>
  <si>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</si>
  <si>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</si>
  <si>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</si>
  <si>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</si>
  <si>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</si>
  <si>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</si>
  <si>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</si>
  <si>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</si>
  <si>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</si>
  <si>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</si>
  <si>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</si>
  <si>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</si>
  <si>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</si>
  <si>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</si>
  <si>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</si>
  <si>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</si>
  <si>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</si>
  <si>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</si>
  <si>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</si>
  <si>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</si>
  <si>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</si>
  <si>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</si>
  <si>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</si>
  <si>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</si>
  <si>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</si>
  <si>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</si>
  <si>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</si>
  <si>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</si>
  <si>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</si>
  <si>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</si>
  <si>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</si>
  <si>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</si>
  <si>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</si>
  <si>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</si>
  <si>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</si>
  <si>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</si>
  <si>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</si>
  <si>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</si>
  <si>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</si>
  <si>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</si>
  <si>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</si>
  <si>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</si>
  <si>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</si>
  <si>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</si>
  <si>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</si>
  <si>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</si>
  <si>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</si>
  <si>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</si>
  <si>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</si>
  <si>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</si>
  <si>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</si>
  <si>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</si>
  <si>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</si>
  <si>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</si>
  <si>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</si>
  <si>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</si>
  <si>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</si>
  <si>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</si>
  <si>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</si>
  <si>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</si>
  <si>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</si>
  <si>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</si>
  <si>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</si>
  <si>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</si>
  <si>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</si>
  <si>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</si>
  <si>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</si>
  <si>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</si>
  <si>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</si>
  <si>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</si>
  <si>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</si>
  <si>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Vanaf</t>
  </si>
  <si>
    <t>n.v.t</t>
  </si>
  <si>
    <t>Beschikbaar voor partner en kinderalimentatie</t>
  </si>
  <si>
    <t>Zorgkorting</t>
  </si>
  <si>
    <t>Getal</t>
  </si>
  <si>
    <t>Geboren op</t>
  </si>
  <si>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</si>
  <si>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</si>
  <si>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</si>
  <si>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</si>
  <si>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</si>
  <si>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</si>
  <si>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</si>
  <si>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</si>
  <si>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</si>
  <si>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</si>
  <si>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</si>
  <si>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</si>
  <si>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</si>
  <si>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</si>
  <si>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</si>
  <si>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</si>
  <si>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</si>
  <si>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</si>
  <si>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</si>
  <si>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</si>
  <si>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</si>
  <si>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</si>
  <si>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</si>
  <si>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</si>
  <si>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</si>
  <si>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</si>
  <si>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</si>
  <si>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</si>
  <si>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</si>
  <si>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</si>
  <si>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</si>
  <si>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</si>
  <si>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</si>
  <si>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</si>
  <si>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</si>
  <si>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</si>
  <si>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</si>
  <si>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</si>
  <si>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</si>
  <si>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</si>
  <si>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</si>
  <si>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</si>
  <si>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</si>
  <si>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</si>
  <si>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</si>
  <si>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</si>
  <si>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</si>
  <si>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</si>
  <si>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</si>
  <si>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</si>
  <si>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</si>
  <si>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</si>
  <si>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</si>
  <si>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</si>
  <si>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</si>
  <si>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</si>
  <si>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</si>
  <si>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</si>
  <si>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</si>
  <si>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</si>
  <si>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</si>
  <si>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</si>
  <si>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</si>
  <si>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</si>
  <si>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</si>
  <si>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</si>
  <si>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</si>
  <si>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</si>
  <si>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</si>
  <si>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</si>
  <si>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</si>
  <si>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</si>
  <si>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</si>
  <si>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</si>
  <si>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</si>
  <si>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</si>
  <si>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</si>
  <si>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</si>
  <si>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</si>
  <si>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</si>
  <si>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</si>
  <si>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</si>
  <si>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Wijzigingen</t>
  </si>
  <si>
    <t>In versie</t>
  </si>
  <si>
    <t>Winst uit onderneming (door te voeren bij Nr.113):</t>
  </si>
  <si>
    <t>Recht op Startersaftrek</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</si>
  <si>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</si>
  <si>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</si>
  <si>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</si>
  <si>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</si>
  <si>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</si>
  <si>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</si>
  <si>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</si>
  <si>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</si>
  <si>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</si>
  <si>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</si>
  <si>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</si>
  <si>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</si>
  <si>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</si>
  <si>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</si>
  <si>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</si>
  <si>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</si>
  <si>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</si>
  <si>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</si>
  <si>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</si>
  <si>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</si>
  <si>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</si>
  <si>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</si>
  <si>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</si>
  <si>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</si>
  <si>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</si>
  <si>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</si>
  <si>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</si>
  <si>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</si>
  <si>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</si>
  <si>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</si>
  <si>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</si>
  <si>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</si>
  <si>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</si>
  <si>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</si>
  <si>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</si>
  <si>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</si>
  <si>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</si>
  <si>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</si>
  <si>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</si>
  <si>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Draagkrachttabel tot AOW-leeftijd</t>
  </si>
  <si>
    <t>NBI vanaf</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</si>
  <si>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</si>
  <si>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</si>
  <si>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</si>
  <si>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</si>
  <si>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</si>
  <si>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</si>
  <si>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</si>
  <si>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</si>
  <si>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</si>
  <si>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</si>
  <si>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</si>
  <si>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</si>
  <si>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</si>
  <si>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</si>
  <si>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</si>
  <si>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</si>
  <si>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</si>
  <si>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</si>
  <si>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</si>
  <si>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</si>
  <si>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</si>
  <si>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</si>
  <si>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</si>
  <si>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</si>
  <si>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</si>
  <si>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</si>
  <si>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</si>
  <si>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</si>
  <si>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U krijgt de inkomensafhankelijke combinatiekorting als u aan de volgende voorwaarden voldoet:</t>
  </si>
  <si>
    <t xml:space="preserve">Bereken deze op: </t>
  </si>
  <si>
    <t xml:space="preserve">https://www.belastingdienst.nl/rekenhulpen/toeslagen/ </t>
  </si>
  <si>
    <t xml:space="preserve">Bereken de juiste AOW datum op: </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</si>
  <si>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</si>
  <si>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</si>
  <si>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</si>
  <si>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</si>
  <si>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</si>
  <si>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</si>
  <si>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</si>
  <si>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</si>
  <si>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</si>
  <si>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</si>
  <si>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</si>
  <si>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</si>
  <si>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</si>
  <si>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</si>
  <si>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</si>
  <si>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</si>
  <si>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</si>
  <si>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</si>
  <si>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</si>
  <si>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</si>
  <si>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</si>
  <si>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</si>
  <si>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</si>
  <si>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</si>
  <si>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</si>
  <si>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</si>
  <si>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</si>
  <si>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</si>
  <si>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</si>
  <si>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</si>
  <si>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</si>
  <si>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</si>
  <si>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</si>
  <si>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</si>
  <si>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</si>
  <si>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</si>
  <si>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</si>
  <si>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</si>
  <si>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</si>
  <si>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</si>
  <si>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</si>
  <si>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 xml:space="preserve">Netto inkomsten </t>
  </si>
  <si>
    <t>Netto inkomen t.b.v. eigen behoefte:</t>
  </si>
  <si>
    <t>Benodigd netto inkomen:</t>
  </si>
  <si>
    <t>Alimentatie volgens Bruto behoefte:</t>
  </si>
  <si>
    <t>Per Jaar</t>
  </si>
  <si>
    <t>Maximale alimentatie volgens DRAAGKRACHT:</t>
  </si>
  <si>
    <t>Maximale alimentatie volgens BEHOEFTE:</t>
  </si>
  <si>
    <t>https://www.zorgwijzer.nl/faq/wat-is-de-inkomensafhankelijke-bijdrage</t>
  </si>
  <si>
    <t>Herberekende heffingskortingen</t>
  </si>
  <si>
    <t>Behoeftebepaling</t>
  </si>
  <si>
    <t>Heffingskortingen:</t>
  </si>
  <si>
    <t>Totaal Heffingskortingen:</t>
  </si>
  <si>
    <t>- andere kortingen (Jonggehandicapten, Levensloop, Groene beleggingen)</t>
  </si>
  <si>
    <t>Besteedbaar inkomen per jaar</t>
  </si>
  <si>
    <t>137a</t>
  </si>
  <si>
    <t>141b</t>
  </si>
  <si>
    <t>141a</t>
  </si>
  <si>
    <t>141c</t>
  </si>
  <si>
    <t>Totaal aan inkomsten:</t>
  </si>
  <si>
    <t>Inkomsten</t>
  </si>
  <si>
    <t>Inhoudingen / Verplichtingen</t>
  </si>
  <si>
    <t>Verschil is</t>
  </si>
  <si>
    <t>a</t>
  </si>
  <si>
    <t>b</t>
  </si>
  <si>
    <t>c</t>
  </si>
  <si>
    <t>d</t>
  </si>
  <si>
    <t>e</t>
  </si>
  <si>
    <t>f</t>
  </si>
  <si>
    <t>g</t>
  </si>
  <si>
    <t>i</t>
  </si>
  <si>
    <t>j</t>
  </si>
  <si>
    <t>k</t>
  </si>
  <si>
    <t>l</t>
  </si>
  <si>
    <t>Gebruiksaanwijzing</t>
  </si>
  <si>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</si>
  <si>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</si>
  <si>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</si>
  <si>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</si>
  <si>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</si>
  <si>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</si>
  <si>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</si>
  <si>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</si>
  <si>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</si>
  <si>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</si>
  <si>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</si>
  <si>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</si>
  <si>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</si>
  <si>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</si>
  <si>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</si>
  <si>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</si>
  <si>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</si>
  <si>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</si>
  <si>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</si>
  <si>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</si>
  <si>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</si>
  <si>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</si>
  <si>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</si>
  <si>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</si>
  <si>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</si>
  <si>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</si>
  <si>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</si>
  <si>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</si>
  <si>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</si>
  <si>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</si>
  <si>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</si>
  <si>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</si>
  <si>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</si>
  <si>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</si>
  <si>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</si>
  <si>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</si>
  <si>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</si>
  <si>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</si>
  <si>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</si>
  <si>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Deze wordt bepaald o.b.v. berekeningstijdvak (C21), wordt gebruikt in de diverse tabellen om de juiste tabel te kiezen</t>
  </si>
  <si>
    <t>Lening</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</si>
  <si>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</si>
  <si>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</si>
  <si>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</si>
  <si>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</si>
  <si>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</si>
  <si>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</si>
  <si>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</si>
  <si>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</si>
  <si>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</si>
  <si>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</si>
  <si>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</si>
  <si>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rPr>
        <b/>
        <u/>
        <sz val="11"/>
        <rFont val="Calibri"/>
        <family val="2"/>
        <scheme val="minor"/>
      </rPr>
      <t xml:space="preserve">Berekenen? Zie: </t>
    </r>
    <r>
      <rPr>
        <b/>
        <u/>
        <sz val="11"/>
        <color theme="10"/>
        <rFont val="Calibri"/>
        <family val="2"/>
        <scheme val="minor"/>
      </rPr>
      <t>https://www.belastingdienst.nl/rekenhulpen/toeslagen/</t>
    </r>
  </si>
  <si>
    <t>maand</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</si>
  <si>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</si>
  <si>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</si>
  <si>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</si>
  <si>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</si>
  <si>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</si>
  <si>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</si>
  <si>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</si>
  <si>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</si>
  <si>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</si>
  <si>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</si>
  <si>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</si>
  <si>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</si>
  <si>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</si>
  <si>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</si>
  <si>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</si>
  <si>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</si>
  <si>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</si>
  <si>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</si>
  <si>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</si>
  <si>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</si>
  <si>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</si>
  <si>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</si>
  <si>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</si>
  <si>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</si>
  <si>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</si>
  <si>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</si>
  <si>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</si>
  <si>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</si>
  <si>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</si>
  <si>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</si>
  <si>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</si>
  <si>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</si>
  <si>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</si>
  <si>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</si>
  <si>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</si>
  <si>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</si>
  <si>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</si>
  <si>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</si>
  <si>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</si>
  <si>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</si>
  <si>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</si>
  <si>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</si>
  <si>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</si>
  <si>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</si>
  <si>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</si>
  <si>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</si>
  <si>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</si>
  <si>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</si>
  <si>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</si>
  <si>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</si>
  <si>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</si>
  <si>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</si>
  <si>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</si>
  <si>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</si>
  <si>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</si>
  <si>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</si>
  <si>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</si>
  <si>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</si>
  <si>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</si>
  <si>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</si>
  <si>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</si>
  <si>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</si>
  <si>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</si>
  <si>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2) Uw kind staat ten minste 6 maanden in 1 kalenderjaar bij de gemeente ingeschreven op uw woonadres.</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</si>
  <si>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</si>
  <si>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</si>
  <si>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</si>
  <si>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</si>
  <si>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r>
      <rPr>
        <b/>
        <u/>
        <sz val="11"/>
        <rFont val="Calibri"/>
        <family val="2"/>
        <scheme val="minor"/>
      </rPr>
      <t xml:space="preserve">LET OP: </t>
    </r>
    <r>
      <rPr>
        <sz val="11"/>
        <rFont val="Calibri"/>
        <family val="2"/>
        <scheme val="minor"/>
      </rPr>
      <t>Het overgangsrecht levensloopregeling is gestopt per 1 januari 2022</t>
    </r>
  </si>
  <si>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</si>
  <si>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</si>
  <si>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</si>
  <si>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</si>
  <si>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</si>
  <si>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</si>
  <si>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</si>
  <si>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</si>
  <si>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</si>
  <si>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</si>
  <si>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</si>
  <si>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</si>
  <si>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</si>
  <si>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</si>
  <si>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</si>
  <si>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</si>
  <si>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</si>
  <si>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</si>
  <si>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</si>
  <si>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</si>
  <si>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</si>
  <si>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</si>
  <si>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</si>
  <si>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</si>
  <si>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</si>
  <si>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</si>
  <si>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</si>
  <si>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</si>
  <si>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</si>
  <si>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</si>
  <si>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</si>
  <si>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</si>
  <si>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</si>
  <si>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</si>
  <si>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</si>
  <si>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</si>
  <si>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</si>
  <si>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</si>
  <si>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</si>
  <si>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</si>
  <si>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</si>
  <si>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</si>
  <si>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</si>
  <si>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</si>
  <si>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</si>
  <si>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</si>
  <si>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</si>
  <si>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</si>
  <si>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</si>
  <si>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</si>
  <si>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</si>
  <si>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</si>
  <si>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</si>
  <si>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</si>
  <si>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</si>
  <si>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</si>
  <si>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</si>
  <si>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</si>
  <si>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</si>
  <si>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</si>
  <si>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</si>
  <si>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</si>
  <si>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</si>
  <si>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</si>
  <si>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</si>
  <si>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</si>
  <si>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</si>
  <si>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</si>
  <si>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</si>
  <si>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</si>
  <si>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</si>
  <si>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</si>
  <si>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</si>
  <si>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</si>
  <si>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</si>
  <si>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</si>
  <si>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</si>
  <si>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</si>
  <si>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</si>
  <si>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</si>
  <si>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</si>
  <si>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</si>
  <si>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</si>
  <si>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</si>
  <si>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</si>
  <si>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</si>
  <si>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</si>
  <si>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</si>
  <si>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</si>
  <si>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</si>
  <si>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</si>
  <si>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</si>
  <si>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</si>
  <si>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</si>
  <si>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</si>
  <si>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</si>
  <si>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t>Te verwachten beschikbare winst (voor ondernemersaftrek)</t>
  </si>
  <si>
    <t>VEW: Fictief inkomen partneralimentatie (zie post 83b)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</si>
  <si>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</si>
  <si>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</si>
  <si>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</si>
  <si>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</si>
  <si>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</si>
  <si>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</si>
  <si>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</si>
  <si>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</si>
  <si>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</si>
  <si>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</si>
  <si>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</si>
  <si>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</si>
  <si>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</si>
  <si>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</si>
  <si>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</si>
  <si>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</si>
  <si>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</si>
  <si>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</si>
  <si>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</si>
  <si>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</si>
  <si>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</si>
  <si>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</si>
  <si>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</si>
  <si>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</si>
  <si>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</si>
  <si>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</si>
  <si>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</si>
  <si>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</si>
  <si>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</si>
  <si>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</si>
  <si>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</si>
  <si>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</si>
  <si>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</si>
  <si>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Als er weinig of geen draagkracht vind correctie plaats o.b.v. tabellen hieronder</t>
  </si>
  <si>
    <t>Aftrekbare rente &amp; aftrekbare kosten/per jaar:</t>
  </si>
  <si>
    <t>(keuzetabel)</t>
  </si>
  <si>
    <t>Alleenstaande ouderenkorting</t>
  </si>
  <si>
    <t>Woonbudget %  van het NBI</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</si>
  <si>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</si>
  <si>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</si>
  <si>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</si>
  <si>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</si>
  <si>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</si>
  <si>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</si>
  <si>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</si>
  <si>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d. Schulden (schuld - drempelbedrag):</t>
  </si>
  <si>
    <t xml:space="preserve">    Af: Drempel bij schulden (alleenstaande):</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</si>
  <si>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</si>
  <si>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</si>
  <si>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</si>
  <si>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</si>
  <si>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</si>
  <si>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</si>
  <si>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</si>
  <si>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</si>
  <si>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</si>
  <si>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</si>
  <si>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</si>
  <si>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</si>
  <si>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</si>
  <si>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</si>
  <si>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</si>
  <si>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</si>
  <si>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</si>
  <si>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</si>
  <si>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</si>
  <si>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</si>
  <si>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</si>
  <si>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</si>
  <si>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</si>
  <si>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</si>
  <si>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</si>
  <si>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</si>
  <si>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</si>
  <si>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</si>
  <si>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</si>
  <si>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</si>
  <si>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</si>
  <si>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</si>
  <si>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Soort loon 3</t>
  </si>
  <si>
    <t>Soort loon 2</t>
  </si>
  <si>
    <t>Soort loon 1</t>
  </si>
  <si>
    <t>(Maand/Jaar)</t>
  </si>
  <si>
    <t>(Maand/4-Weken/Week)</t>
  </si>
  <si>
    <t>Bij de keuze DGA = Ja worden de posten 41, 44, 46 t/m 48 toegerekend aan de DGA.</t>
  </si>
  <si>
    <t>41, 44, 46 t/m 48</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</si>
  <si>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</si>
  <si>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</si>
  <si>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</si>
  <si>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</si>
  <si>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</si>
  <si>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</si>
  <si>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</si>
  <si>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</si>
  <si>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</si>
  <si>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</si>
  <si>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</si>
  <si>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</si>
  <si>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</si>
  <si>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</si>
  <si>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</si>
  <si>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</si>
  <si>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</si>
  <si>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</si>
  <si>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</si>
  <si>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</si>
  <si>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</si>
  <si>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</si>
  <si>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</si>
  <si>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</si>
  <si>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</si>
  <si>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</si>
  <si>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</si>
  <si>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</si>
  <si>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</si>
  <si>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</si>
  <si>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</si>
  <si>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</si>
  <si>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</si>
  <si>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</si>
  <si>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</si>
  <si>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</si>
  <si>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</si>
  <si>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</si>
  <si>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</si>
  <si>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</si>
  <si>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</si>
  <si>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</si>
  <si>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</si>
  <si>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</si>
  <si>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</si>
  <si>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</si>
  <si>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</si>
  <si>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</si>
  <si>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</si>
  <si>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</si>
  <si>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</si>
  <si>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</si>
  <si>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</si>
  <si>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</si>
  <si>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</si>
  <si>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</si>
  <si>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</si>
  <si>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</si>
  <si>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</si>
  <si>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</si>
  <si>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</si>
  <si>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</si>
  <si>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</si>
  <si>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</si>
  <si>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</si>
  <si>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</si>
  <si>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</si>
  <si>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</si>
  <si>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</si>
  <si>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</si>
  <si>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</si>
  <si>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</si>
  <si>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</si>
  <si>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</si>
  <si>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</si>
  <si>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</si>
  <si>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</si>
  <si>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</si>
  <si>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</si>
  <si>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</si>
  <si>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</si>
  <si>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</si>
  <si>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</si>
  <si>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</si>
  <si>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</si>
  <si>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</si>
  <si>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</si>
  <si>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</si>
  <si>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Af te dragen premie ZVW over:</t>
  </si>
  <si>
    <t>Als het te ontvangen KGB is opgevoerd als kleine netto inkomen (post 119b): AF:</t>
  </si>
  <si>
    <t xml:space="preserve">Netto besteedbaar inkomen na partneralimentatie per maand: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</si>
  <si>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</si>
  <si>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</si>
  <si>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</si>
  <si>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</si>
  <si>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</si>
  <si>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(gedetaileerd)</t>
  </si>
  <si>
    <t xml:space="preserve">Werkelijk verschuldigde / benodigde partneralimentatie: </t>
  </si>
  <si>
    <t>Netto Besteedbaar gezinsinkomen ten tijde van de relatie:</t>
  </si>
  <si>
    <t>Einde</t>
  </si>
  <si>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</si>
  <si>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</si>
  <si>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</si>
  <si>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</si>
  <si>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</si>
  <si>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</si>
  <si>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</si>
  <si>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</si>
  <si>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</si>
  <si>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</si>
  <si>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</si>
  <si>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</si>
  <si>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</si>
  <si>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</si>
  <si>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</si>
  <si>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</si>
  <si>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</si>
  <si>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</si>
  <si>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</si>
  <si>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</si>
  <si>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</si>
  <si>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</si>
  <si>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</si>
  <si>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</si>
  <si>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</si>
  <si>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</si>
  <si>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</si>
  <si>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</si>
  <si>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</si>
  <si>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</si>
  <si>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</si>
  <si>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</si>
  <si>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</si>
  <si>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</si>
  <si>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</si>
  <si>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</si>
  <si>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Vakantietoeslag (wordt jaarlijks vastgesteld)</t>
  </si>
  <si>
    <t>(= t.b.v. evt. ZKV bijdrage)</t>
  </si>
  <si>
    <r>
      <t xml:space="preserve">Eigen Woning Forfait aandeel in  </t>
    </r>
    <r>
      <rPr>
        <b/>
        <u/>
        <sz val="11"/>
        <color theme="1"/>
        <rFont val="Calibri"/>
        <family val="2"/>
        <scheme val="minor"/>
      </rPr>
      <t>box 3</t>
    </r>
  </si>
  <si>
    <t>Beleggingen/andere bezittingen incl. OEW</t>
  </si>
  <si>
    <t>Forfaitair bedrag</t>
  </si>
  <si>
    <t>Deze wordt automatisch invult als er sprake is van een eigen woning !</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</si>
  <si>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</si>
  <si>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</si>
  <si>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</si>
  <si>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</si>
  <si>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</si>
  <si>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</si>
  <si>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</si>
  <si>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</si>
  <si>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</si>
  <si>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</si>
  <si>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</si>
  <si>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Ink.afhankelijke bijdrage premie ZVW al betaald bij post 41 Looninkomsten</t>
  </si>
  <si>
    <r>
      <t xml:space="preserve">Eigen </t>
    </r>
    <r>
      <rPr>
        <b/>
        <u/>
        <sz val="10.5"/>
        <color theme="1"/>
        <rFont val="Calibri"/>
        <family val="2"/>
        <scheme val="minor"/>
      </rPr>
      <t>structurele NETTO</t>
    </r>
    <r>
      <rPr>
        <b/>
        <sz val="10.5"/>
        <color theme="1"/>
        <rFont val="Calibri"/>
        <family val="2"/>
        <scheme val="minor"/>
      </rPr>
      <t xml:space="preserve"> inkomsten</t>
    </r>
  </si>
  <si>
    <t xml:space="preserve">  (zie het echtscheidingsconvenant)</t>
  </si>
  <si>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</si>
  <si>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</si>
  <si>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</si>
  <si>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</si>
  <si>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</si>
  <si>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</si>
  <si>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</si>
  <si>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</si>
  <si>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</si>
  <si>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</si>
  <si>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</si>
  <si>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</si>
  <si>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</si>
  <si>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</si>
  <si>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</si>
  <si>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</si>
  <si>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</si>
  <si>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</si>
  <si>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</si>
  <si>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</si>
  <si>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</si>
  <si>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</si>
  <si>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</si>
  <si>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</si>
  <si>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t>Onderhoudsplichtige</t>
  </si>
  <si>
    <t>Onderhoudgerechtigde</t>
  </si>
  <si>
    <t>Officiële jaar van scheiding (t.b.v. NBI Kinderalimentatie)</t>
  </si>
  <si>
    <t>Aftrekbare kosten t.b.v. hypotheek/jaar</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</si>
  <si>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</si>
  <si>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</si>
  <si>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</si>
  <si>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</si>
  <si>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</si>
  <si>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</si>
  <si>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</si>
  <si>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</si>
  <si>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</si>
  <si>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</si>
  <si>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</si>
  <si>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</si>
  <si>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</si>
  <si>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t>Noodzak. lasten</t>
  </si>
  <si>
    <t>Berekende NBI t.b.v.Kinderalimentatie is:</t>
  </si>
  <si>
    <t>Berekende NBI t.b.v.Draagkrachttabel is:</t>
  </si>
  <si>
    <t>Woonbudget</t>
  </si>
  <si>
    <t xml:space="preserve">    U bent co-ouder als u met uw ex-partner hebt afgesproken om de dagelijkse opvang en opvoeding van uw minderjarige kind ongeveer gelijk te verdelen. </t>
  </si>
  <si>
    <t xml:space="preserve">    Dit houdt in dat uw kind in totaal minimaal 156 dagen per kalenderjaar bij elke ouder is</t>
  </si>
  <si>
    <t>https://www.belastingdienst.nl/wps/wcm/connect/bldcontentnl/belastingdienst/prive/inkomstenbelasting/heffingskortingen_boxen_tarieven/heffingskortingen/inkomensafhankelijke_combikorting/inkomensafhankelijke-combinatiekorting</t>
  </si>
  <si>
    <t>4) U hebt geen of minder dan 6 maanden een fiscale partner.</t>
  </si>
  <si>
    <r>
      <t xml:space="preserve">    Of u hebt langer dan 6 maanden een fiscale partner, én u hebt </t>
    </r>
    <r>
      <rPr>
        <b/>
        <u/>
        <sz val="10"/>
        <color rgb="FF000000"/>
        <rFont val="Verdana"/>
        <family val="2"/>
      </rPr>
      <t>een lager arbeidsinkomen</t>
    </r>
    <r>
      <rPr>
        <sz val="10"/>
        <color rgb="FF000000"/>
        <rFont val="Verdana"/>
        <family val="2"/>
      </rPr>
      <t xml:space="preserve"> dan uw fiscale partner.</t>
    </r>
  </si>
  <si>
    <t>https://www.belastingdienst.nl/wps/wcm/connect/bldcontentnl/belastingdienst/prive/inkomstenbelasting/heffingskortingen_boxen_tarieven/heffingskortingen/algemene_heffingskorting/algemene_heffingskorting</t>
  </si>
  <si>
    <t>https://www.belastingdienst.nl/wps/wcm/connect/bldcontentnl/belastingdienst/prive/inkomstenbelasting/heffingskortingen_boxen_tarieven/heffingskortingen/arbeidskorting/arbeidskorting</t>
  </si>
  <si>
    <t>https://www.belastingdienst.nl/wps/wcm/connect/bldcontentnl/belastingdienst/prive/relatie_familie_en_gezondheid/gezondheid/aftrek_zorgkosten/hoe_berekent_u_uw_aftrek/drempelbedrag_berekenen/</t>
  </si>
  <si>
    <r>
      <t>Drempel studiekosten (</t>
    </r>
    <r>
      <rPr>
        <b/>
        <u/>
        <sz val="12"/>
        <color rgb="FFFF0000"/>
        <rFont val="Calibri"/>
        <family val="2"/>
        <scheme val="minor"/>
      </rPr>
      <t>vervallen</t>
    </r>
    <r>
      <rPr>
        <b/>
        <u/>
        <sz val="12"/>
        <color theme="1"/>
        <rFont val="Calibri"/>
        <family val="2"/>
        <scheme val="minor"/>
      </rPr>
      <t>)</t>
    </r>
  </si>
  <si>
    <t>https://www.belastingdienst.nl/wps/wcm/connect/bldcontentnl/belastingdienst/zakelijk/winst/inkomstenbelasting/inkomstenbelasting_voor_ondernemers/ondernemersaftrek/meewerkaftrek</t>
  </si>
  <si>
    <t>13e maand / 14e periode</t>
  </si>
  <si>
    <t>Speur- en Ontwikkelingsaftrek</t>
  </si>
  <si>
    <t>Waarde aan het eind van het jaar van:</t>
  </si>
  <si>
    <t>Grondslag sparen en beleggen:</t>
  </si>
  <si>
    <t>Inkomen voor aftrek inkomensheffing (59/60, 65, 76, 81, 98, 103)</t>
  </si>
  <si>
    <t>(nr.59/nr.60 + nr.65 + nr.76 + nr.81 + nr.98 + nr.103)</t>
  </si>
  <si>
    <t>Totaal Netto inkomsten (waaronder KGB):</t>
  </si>
  <si>
    <r>
      <t>Oppaskosten ten tijde van de relatie  (</t>
    </r>
    <r>
      <rPr>
        <b/>
        <sz val="11"/>
        <color rgb="FFFF0000"/>
        <rFont val="Calibri"/>
        <family val="2"/>
        <scheme val="minor"/>
      </rPr>
      <t>-</t>
    </r>
    <r>
      <rPr>
        <sz val="11"/>
        <color theme="1"/>
        <rFont val="Calibri"/>
        <family val="2"/>
        <scheme val="minor"/>
      </rPr>
      <t>)</t>
    </r>
  </si>
  <si>
    <t>Eventuele ziektekosten (extra en/of premie aanvullende verzekering) voor het kind / de kinderen moeten bij het bedrag van de tabel worden opgeteld.</t>
  </si>
  <si>
    <t>Forfait noodzakelijke lasten / (Gecorrigeerde) Bijstandsnorm</t>
  </si>
  <si>
    <t>Kies de juiste:</t>
  </si>
  <si>
    <t>HBO/WO Thuisw.</t>
  </si>
  <si>
    <t>HBO/WO Uitwonend</t>
  </si>
  <si>
    <t>Rentedragende lening</t>
  </si>
  <si>
    <t>56a</t>
  </si>
  <si>
    <r>
      <rPr>
        <b/>
        <u/>
        <sz val="11"/>
        <color theme="1"/>
        <rFont val="Calibri"/>
        <family val="2"/>
        <scheme val="minor"/>
      </rPr>
      <t>Netto</t>
    </r>
    <r>
      <rPr>
        <sz val="11"/>
        <color theme="1"/>
        <rFont val="Calibri"/>
        <family val="2"/>
        <scheme val="minor"/>
      </rPr>
      <t xml:space="preserve"> ingehouden werknemerspremies (WGA, WHK etc.)</t>
    </r>
  </si>
  <si>
    <r>
      <t xml:space="preserve">Ink.afhankelijke bijdrage </t>
    </r>
    <r>
      <rPr>
        <b/>
        <u/>
        <sz val="11"/>
        <rFont val="Calibri"/>
        <family val="2"/>
        <scheme val="minor"/>
      </rPr>
      <t>NETTO</t>
    </r>
    <r>
      <rPr>
        <sz val="11"/>
        <rFont val="Calibri"/>
        <family val="2"/>
        <scheme val="minor"/>
      </rPr>
      <t xml:space="preserve"> premie WGA, WHK etc.</t>
    </r>
  </si>
  <si>
    <t>2025 - 1e halfjaar</t>
  </si>
  <si>
    <t>Vanaf € 67.804</t>
  </si>
  <si>
    <t>Tot € 67.804</t>
  </si>
  <si>
    <t>Netto premie betaal voor arbeidsongeschiktheidsverzekering, werkhervattingskas etc.</t>
  </si>
  <si>
    <t>Netto uitgaven/inhoudingen (per jaar)</t>
  </si>
  <si>
    <t>Nieuwe tarieven belasting, toeslagen, bijstand/participatiewet en studiefinanciering etc. verwerkt</t>
  </si>
  <si>
    <t>Inkomensvergelijking (indicatie)</t>
  </si>
  <si>
    <t>Studiefinanciering HBO / WO, januari t/m augustus '25</t>
  </si>
  <si>
    <t>Lesgeld bij 18+ per jaar</t>
  </si>
  <si>
    <t>Studie 2024/2025</t>
  </si>
  <si>
    <t>Draagkracht o.b.v. Draagkrachttabel kinderalimentatie</t>
  </si>
  <si>
    <t>Forfaitair % woonlasten t.a.v. (kinder)alimentatie</t>
  </si>
  <si>
    <t>Verzorgt kinderen onder de 12 jaar?</t>
  </si>
  <si>
    <t>Leeftijd op 01-01</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</si>
  <si>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Inkomensvergelijking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</si>
  <si>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Start als 1e in het tabblad "</t>
    </r>
    <r>
      <rPr>
        <b/>
        <sz val="11"/>
        <color theme="1"/>
        <rFont val="Calibri"/>
        <family val="2"/>
        <scheme val="minor"/>
      </rPr>
      <t>Basisgegevens"</t>
    </r>
    <r>
      <rPr>
        <sz val="11"/>
        <color theme="1"/>
        <rFont val="Calibri"/>
        <family val="2"/>
        <scheme val="minor"/>
      </rPr>
      <t xml:space="preserve">,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</si>
  <si>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Per </t>
    </r>
    <r>
      <rPr>
        <b/>
        <u/>
        <sz val="11"/>
        <rFont val="Calibri"/>
        <family val="2"/>
        <scheme val="minor"/>
      </rPr>
      <t>01-01-2023</t>
    </r>
    <r>
      <rPr>
        <sz val="11"/>
        <rFont val="Calibri"/>
        <family val="2"/>
        <scheme val="minor"/>
      </rPr>
      <t xml:space="preserve"> geldt er een andere berekeningswijze voor de inkomensvergelijking.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</si>
  <si>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Als de uitkomsten van de alimentatieberekening kloppen moet in het tabblad "Inkomensvergelijking"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</si>
  <si>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t>Tabblad "Inkomensvergelijking"</t>
  </si>
  <si>
    <t>Maximale alimentatie volgens INKOMENSVERGELIJKING:</t>
  </si>
  <si>
    <t>EW telt niet mee!</t>
  </si>
  <si>
    <t>Maximaal voor AP</t>
  </si>
  <si>
    <t>A. Gerechtigd</t>
  </si>
  <si>
    <t>A. Plichtig</t>
  </si>
  <si>
    <r>
      <rPr>
        <b/>
        <u/>
        <sz val="11"/>
        <color theme="1"/>
        <rFont val="Calibri"/>
        <family val="2"/>
        <scheme val="minor"/>
      </rPr>
      <t>85 Bruto</t>
    </r>
    <r>
      <rPr>
        <sz val="11"/>
        <color theme="1"/>
        <rFont val="Calibri"/>
        <family val="2"/>
        <scheme val="minor"/>
      </rPr>
      <t xml:space="preserve"> belastingvoordeel/nadeel Eigen Woning/maand:</t>
    </r>
  </si>
  <si>
    <r>
      <rPr>
        <b/>
        <u/>
        <sz val="11"/>
        <color theme="1"/>
        <rFont val="Calibri"/>
        <family val="2"/>
        <scheme val="minor"/>
      </rPr>
      <t>85 Netto</t>
    </r>
    <r>
      <rPr>
        <sz val="11"/>
        <color theme="1"/>
        <rFont val="Calibri"/>
        <family val="2"/>
        <scheme val="minor"/>
      </rPr>
      <t xml:space="preserve"> belastingvoordeel/nadeel Eigen Woning/maand:</t>
    </r>
  </si>
  <si>
    <t>Post 85 * Belastingtarief Schijf 1 of 2</t>
  </si>
  <si>
    <t>Belasting voordeel Eigen Woning</t>
  </si>
  <si>
    <t>Belasting t.b.v. Inkomensvergelijking</t>
  </si>
  <si>
    <t>De Tremanorm zegt over de per 01-01-2023 geldenden Inkomensvergelijking:</t>
  </si>
  <si>
    <t>De Inkomensvergelijking mag er niet toe leiden dat:
1) Er een hogere alimentatie wordt vastgesteld dan de draagkracht (post 136) van de onderhoudsplichtige toelaat.
2) De onderhoudsplichtige meer dan de behoefte (post 135) te besteden heeft.</t>
  </si>
  <si>
    <t>Verz.inkomen Ink.Verg.</t>
  </si>
  <si>
    <t xml:space="preserve"> Belasting bij Inkomensvergelijking</t>
  </si>
  <si>
    <t>Te betalen partneralimentatie volgens Inkomensvergelijking</t>
  </si>
  <si>
    <t>Verschil in Inkomen</t>
  </si>
  <si>
    <t>Inkomensvergelijking</t>
  </si>
  <si>
    <t>https://www.belastingdienst.nl/wps/wcm/connect/nl/box-3/content/box-3-inkomen-op-voorlopige-aanslag-2025</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</si>
  <si>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</si>
  <si>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</si>
  <si>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r>
      <t xml:space="preserve">Ink.afhankelijke bijdrage </t>
    </r>
    <r>
      <rPr>
        <b/>
        <u/>
        <sz val="11"/>
        <color rgb="FFEE0000"/>
        <rFont val="Calibri"/>
        <family val="2"/>
        <scheme val="minor"/>
      </rPr>
      <t>NETTO</t>
    </r>
    <r>
      <rPr>
        <sz val="11"/>
        <rFont val="Calibri"/>
        <family val="2"/>
        <scheme val="minor"/>
      </rPr>
      <t xml:space="preserve"> premie WGA, WHK etc.</t>
    </r>
  </si>
  <si>
    <r>
      <t xml:space="preserve">Overige loonbestanddelen </t>
    </r>
    <r>
      <rPr>
        <b/>
        <u/>
        <sz val="11"/>
        <color theme="1"/>
        <rFont val="Calibri"/>
        <family val="2"/>
        <scheme val="minor"/>
      </rPr>
      <t>per jaar</t>
    </r>
  </si>
  <si>
    <t>Vakantietoeslag (8% / wordt jaarlijks vastgesteld)</t>
  </si>
  <si>
    <t>Zie post 42</t>
  </si>
  <si>
    <t>Zie post 50</t>
  </si>
  <si>
    <t>Belasting t.b.v. kinderalimentatie</t>
  </si>
  <si>
    <t>Normbedragen levensonderhoud MBO (BOL), januari t/m juli '25</t>
  </si>
  <si>
    <t>Te ontvangen Basis en
aanvullende beurs</t>
  </si>
  <si>
    <t>Totaal meetellende:</t>
  </si>
  <si>
    <t>Totaal inkomstenbelastingen (Box I, II en II):</t>
  </si>
  <si>
    <t>Besteedbaar inkomen per jaar:</t>
  </si>
  <si>
    <t>Besteedbaar inkomen per jaar (incl. te betalen partneralimentatie)</t>
  </si>
  <si>
    <t>Niet vermijdbare kosten (134)</t>
  </si>
  <si>
    <t>Volledige woonlasten meenemen:</t>
  </si>
  <si>
    <t>Totale kosten kinderen:</t>
  </si>
  <si>
    <t xml:space="preserve">  </t>
  </si>
  <si>
    <t>Totaal Inkomstenbelasting:</t>
  </si>
  <si>
    <t>Subtotaal Inhoudingen/Verplichtingen:</t>
  </si>
  <si>
    <t>Netto</t>
  </si>
  <si>
    <t>Belasting arbeid box 1 t.b.v. behoefteberekening</t>
  </si>
  <si>
    <t>Behoefte berekening bij KGB meenemen</t>
  </si>
  <si>
    <t>Maximale bedrag aan vermogen (spaargeld, beleggingen)</t>
  </si>
  <si>
    <t>Maximaal bedrag kindgebonden budget</t>
  </si>
  <si>
    <t>1 kind</t>
  </si>
  <si>
    <t>2 kinderen</t>
  </si>
  <si>
    <t>Verhoging vanaf 3e kind</t>
  </si>
  <si>
    <t>Alleenstaande ouder</t>
  </si>
  <si>
    <t>Kind van 16 t/m 17</t>
  </si>
  <si>
    <t>Kind van 12 t/m 15</t>
  </si>
  <si>
    <t>Verhoog het maximale toeslagbedrag</t>
  </si>
  <si>
    <t>--</t>
  </si>
  <si>
    <t>Aantal kinderen van 12 t/m 15:</t>
  </si>
  <si>
    <t>Aantal kinderen van 16 t/m 17:</t>
  </si>
  <si>
    <t>Max. toeslagbedrag alleenstaand</t>
  </si>
  <si>
    <t>Met toeslagpartner</t>
  </si>
  <si>
    <t>Subtotaal:</t>
  </si>
  <si>
    <t>Stap 1: Bepaal het maximale toeslagbedrag</t>
  </si>
  <si>
    <t>Stap 2: Verhoging van het maximale toeslagbedrag</t>
  </si>
  <si>
    <t>Leeftijdscategorie</t>
  </si>
  <si>
    <t>Verhoging</t>
  </si>
  <si>
    <t>Max. toeslagbedrag:</t>
  </si>
  <si>
    <t>Bijtelling auto</t>
  </si>
  <si>
    <t>Belastbaar inkomen uit arbeid (Box I):</t>
  </si>
  <si>
    <t>Gezamenlijk</t>
  </si>
  <si>
    <t>Stap 3: Bepaal het (gezamelijke) toetsinkomen</t>
  </si>
  <si>
    <t>Afbouw %</t>
  </si>
  <si>
    <t>Zonder toeslagpartner</t>
  </si>
  <si>
    <t>Situatie</t>
  </si>
  <si>
    <t>Toetsinkomen tot</t>
  </si>
  <si>
    <t>Formule</t>
  </si>
  <si>
    <t>Vermindering:</t>
  </si>
  <si>
    <t>Stap 4: Verminder het maximale toeslagbedrag</t>
  </si>
  <si>
    <t>Toetsinkomen:</t>
  </si>
  <si>
    <t>Stap 5: Bereken het kindgebondenbudget</t>
  </si>
  <si>
    <t>Kindgebondenbudget:</t>
  </si>
  <si>
    <t>Per maand:</t>
  </si>
  <si>
    <t>Situtatie na scheiding</t>
  </si>
  <si>
    <t>Situatie: Alleenstaand na scheiding</t>
  </si>
  <si>
    <t>Tijdens relatie</t>
  </si>
  <si>
    <t>Samen</t>
  </si>
  <si>
    <t>Ten behoeve van de KGB berekening</t>
  </si>
  <si>
    <t>Zonder KGB bijtelling</t>
  </si>
  <si>
    <t>Draagkrachtvergelijking / Verdeling van de kosten (zonder KGB na scheiding)</t>
  </si>
  <si>
    <t>PA zonder het KGB 
na scheiding</t>
  </si>
  <si>
    <t>KA zonder het KGB 
na scheiding</t>
  </si>
  <si>
    <t xml:space="preserve">Rekenkundig </t>
  </si>
  <si>
    <t>Werkelijke KA
na scheiding</t>
  </si>
  <si>
    <t>Werkelijke PA
na scheiding</t>
  </si>
  <si>
    <t>Hulprekenkolom</t>
  </si>
  <si>
    <t>Onderstaand: Hulpberekeningen</t>
  </si>
  <si>
    <t>Hulptabellen t.b.v. KA zonder meerekening KGB na scheiding</t>
  </si>
  <si>
    <t>Hulpwaarden</t>
  </si>
  <si>
    <t>Hulpwaarde: Gecorrigeerde post 137, zonder evt. invloed KGB</t>
  </si>
  <si>
    <t>Hulpwaarde: Gecorrigeerde post 140, zonder evt. invloed KGB</t>
  </si>
  <si>
    <t>Inkomen Box 1</t>
  </si>
  <si>
    <t>- Afbouw combinatiekorting bij hoger inkomen</t>
  </si>
  <si>
    <t>117 ZKV over na loon</t>
  </si>
  <si>
    <t xml:space="preserve">Het KGB indien KGB wordt toegevoegd aan post 119a: Netto Inkomen </t>
  </si>
  <si>
    <t>Het automatisch berekenen van het te verwachten KGB toegevoegd</t>
  </si>
  <si>
    <t>Algehele review van de Behoefte- en de Inkomensvergelijking</t>
  </si>
  <si>
    <t>Factoren van de Buijsvergelijking hielden geen rekening met 3 belastingboxen, dit gecorrigeerd</t>
  </si>
  <si>
    <t>1.1</t>
  </si>
  <si>
    <t>Situtatie na scheiding met KGB al dan niet opgenomen in Post 119a</t>
  </si>
  <si>
    <t>Automatisch berekend KGB na scheiding  per MAAND:</t>
  </si>
  <si>
    <t>Automatisch berekend KGB tijdens scheiding  per MAAND:</t>
  </si>
  <si>
    <t>Neem automatisch berekende KGB-bedragen (regel erboven) over indien correct!</t>
  </si>
  <si>
    <r>
      <t xml:space="preserve">Hier het KGB-bedrage invullen bij een berekening </t>
    </r>
    <r>
      <rPr>
        <b/>
        <u/>
        <sz val="11"/>
        <color rgb="FFFF0000"/>
        <rFont val="Calibri"/>
        <family val="2"/>
        <scheme val="minor"/>
      </rPr>
      <t>TIJDENS</t>
    </r>
    <r>
      <rPr>
        <b/>
        <sz val="11"/>
        <color theme="1"/>
        <rFont val="Calibri"/>
        <family val="2"/>
        <scheme val="minor"/>
      </rPr>
      <t xml:space="preserve"> scheiding gaat</t>
    </r>
  </si>
  <si>
    <r>
      <t xml:space="preserve">Hier het KGB-bedrag invullen bij een </t>
    </r>
    <r>
      <rPr>
        <b/>
        <u/>
        <sz val="11"/>
        <color rgb="FFFF0000"/>
        <rFont val="Calibri"/>
        <family val="2"/>
        <scheme val="minor"/>
      </rPr>
      <t>herberekening NA</t>
    </r>
    <r>
      <rPr>
        <b/>
        <sz val="11"/>
        <color theme="1"/>
        <rFont val="Calibri"/>
        <family val="2"/>
        <scheme val="minor"/>
      </rPr>
      <t xml:space="preserve"> het scheiding</t>
    </r>
  </si>
  <si>
    <r>
      <t xml:space="preserve">Kindgebonden budget </t>
    </r>
    <r>
      <rPr>
        <b/>
        <u/>
        <sz val="12"/>
        <color rgb="FFFF0000"/>
        <rFont val="Calibri"/>
        <family val="2"/>
        <scheme val="minor"/>
      </rPr>
      <t>(te ontvangen na de scheiding)</t>
    </r>
  </si>
  <si>
    <t>Tijdens scheiding</t>
  </si>
  <si>
    <t>Berekeningsjaar is:</t>
  </si>
  <si>
    <t>Combinatiekorting</t>
  </si>
  <si>
    <t>Detailberekening</t>
  </si>
  <si>
    <t>+ (Zie cel E12)</t>
  </si>
  <si>
    <r>
      <t xml:space="preserve">- </t>
    </r>
    <r>
      <rPr>
        <sz val="11"/>
        <rFont val="Calibri"/>
        <family val="2"/>
        <scheme val="minor"/>
      </rPr>
      <t>(Zie cel F68)</t>
    </r>
  </si>
  <si>
    <t>Alimentatie behoefte volgens Bruto behoefte</t>
  </si>
  <si>
    <t>In de Inkomensvergelijking moet de "Vrije ruimte" voor beide partners gelijk zijn. 
Vul bij een verschil in vrije ruimte (zie cel K23) het correctie bedrag in bij cel J19 (= blauw). 
Zodanig dat de vrije ruimte bij beiden gelijk wordt. 
In Cel L23 wordt de schatting van het startbedrag (en daarna het aanvullende correctiebedrag).</t>
  </si>
  <si>
    <t>Berekening Kindgebondenbudget (tijdens/na scheiding)</t>
  </si>
  <si>
    <t>Correctie in methode Buijs Netto naar Bruto alimentatie</t>
  </si>
  <si>
    <t>Persoonsgebondenaftrek</t>
  </si>
  <si>
    <t>AL93PersGebAftrek_AP</t>
  </si>
  <si>
    <t>= één bedrag voor 2 kinderen</t>
  </si>
  <si>
    <t>= één bedrag voor 2 kinderen!</t>
  </si>
  <si>
    <t>Aantal kinderen onder de 12 (geen verhoging):</t>
  </si>
  <si>
    <t>Geen verhoging</t>
  </si>
  <si>
    <t>Berekeningsdatum</t>
  </si>
  <si>
    <r>
      <rPr>
        <b/>
        <sz val="11"/>
        <color rgb="FFEE0000"/>
        <rFont val="Calibri"/>
        <family val="2"/>
        <scheme val="minor"/>
      </rPr>
      <t>Rood?</t>
    </r>
    <r>
      <rPr>
        <sz val="11"/>
        <color rgb="FFEE0000"/>
        <rFont val="Calibri"/>
        <family val="2"/>
        <scheme val="minor"/>
      </rPr>
      <t xml:space="preserve"> </t>
    </r>
    <r>
      <rPr>
        <i/>
        <sz val="11"/>
        <color theme="1"/>
        <rFont val="Calibri"/>
        <family val="2"/>
        <scheme val="minor"/>
      </rPr>
      <t>Datum=te Vroeg</t>
    </r>
  </si>
  <si>
    <t>1.2</t>
  </si>
  <si>
    <t>In tabblad KGB-Berekening de div. tabellen erbij gezet, tekst "zie 1e kind" en "Geen verhoging"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</si>
</sst>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 #,##0;&quot;€&quot;\ \-#,##0"/>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413]dd/mmm/yy;@"/>
    <numFmt numFmtId="178" formatCode="0.0000"/>
    <numFmt numFmtId="179" formatCode="0.0000%"/>
    <numFmt numFmtId="180" formatCode="#,##0.000000_ ;\-#,##0.000000\ "/>
    <numFmt numFmtId="181" formatCode="&quot;€&quot;\ #,##0.00"/>
  </numFmts>
  <fonts count="92"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
      <b/>
      <u/>
      <sz val="11"/>
      <color rgb="FFEE0000"/>
      <name val="Calibri"/>
      <family val="2"/>
      <scheme val="minor"/>
    </font>
    <font>
      <sz val="11"/>
      <color rgb="FFEE0000"/>
      <name val="Calibri"/>
      <family val="2"/>
      <scheme val="minor"/>
    </font>
    <font>
      <b/>
      <sz val="11"/>
      <color rgb="FFEE0000"/>
      <name val="Calibri"/>
      <family val="2"/>
      <scheme val="minor"/>
    </font>
  </fonts>
  <fills count="2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68">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3" fillId="2" borderId="19" xfId="0" applyFont="1" applyFill="1" applyBorder="1" applyAlignment="1">
      <alignment horizontal="center" vertical="center"/>
    </xf>
    <xf numFmtId="44" fontId="3" fillId="3" borderId="3" xfId="0" applyNumberFormat="1" applyFont="1" applyFill="1" applyBorder="1" applyAlignment="1">
      <alignment horizontal="center"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4"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0"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8"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3" borderId="36" xfId="0" applyFont="1" applyFill="1" applyBorder="1" applyAlignment="1">
      <alignment horizontal="center" vertical="center"/>
    </xf>
    <xf numFmtId="0" fontId="3" fillId="13" borderId="4" xfId="0" applyFont="1" applyFill="1" applyBorder="1" applyAlignment="1">
      <alignment horizontal="right" vertical="center" wrapText="1"/>
    </xf>
    <xf numFmtId="0" fontId="40" fillId="13" borderId="4" xfId="0" applyFont="1" applyFill="1" applyBorder="1" applyAlignment="1">
      <alignment horizontal="right" vertical="center" wrapText="1"/>
    </xf>
    <xf numFmtId="0" fontId="27" fillId="13" borderId="4" xfId="0" applyFont="1" applyFill="1" applyBorder="1" applyAlignment="1">
      <alignment horizontal="right" vertical="center" wrapText="1"/>
    </xf>
    <xf numFmtId="0" fontId="42" fillId="13"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3" borderId="40" xfId="0" applyFont="1" applyFill="1" applyBorder="1" applyAlignment="1">
      <alignment horizontal="center" vertical="center"/>
    </xf>
    <xf numFmtId="0" fontId="2" fillId="13"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11" fillId="0" borderId="39" xfId="0" quotePrefix="1" applyFont="1" applyBorder="1" applyAlignment="1">
      <alignment horizontal="center" vertical="center"/>
    </xf>
    <xf numFmtId="0" fontId="3" fillId="13"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3" borderId="40" xfId="0" applyFont="1" applyFill="1" applyBorder="1" applyAlignment="1">
      <alignment horizontal="center" vertical="center"/>
    </xf>
    <xf numFmtId="0" fontId="3" fillId="0" borderId="38" xfId="0" applyFont="1" applyBorder="1" applyAlignment="1">
      <alignment horizontal="center" vertical="center"/>
    </xf>
    <xf numFmtId="0" fontId="2" fillId="13"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4" borderId="38" xfId="0" applyNumberFormat="1" applyFill="1" applyBorder="1" applyAlignment="1">
      <alignment horizontal="center" vertical="center"/>
    </xf>
    <xf numFmtId="0" fontId="9" fillId="14" borderId="45" xfId="0" applyFont="1" applyFill="1" applyBorder="1" applyAlignment="1">
      <alignment vertical="center"/>
    </xf>
    <xf numFmtId="42" fontId="0" fillId="14" borderId="37" xfId="0" applyNumberFormat="1" applyFill="1" applyBorder="1" applyAlignment="1">
      <alignment horizontal="center" vertical="center"/>
    </xf>
    <xf numFmtId="0" fontId="9" fillId="14" borderId="46" xfId="0" applyFont="1" applyFill="1" applyBorder="1" applyAlignment="1">
      <alignment vertical="center"/>
    </xf>
    <xf numFmtId="0" fontId="9" fillId="14" borderId="47" xfId="0" applyFont="1" applyFill="1" applyBorder="1" applyAlignment="1">
      <alignment vertical="center"/>
    </xf>
    <xf numFmtId="0" fontId="9" fillId="14" borderId="31" xfId="0" applyFont="1" applyFill="1" applyBorder="1" applyAlignment="1">
      <alignment vertical="center"/>
    </xf>
    <xf numFmtId="0" fontId="9" fillId="14" borderId="58" xfId="0" applyFont="1" applyFill="1" applyBorder="1" applyAlignment="1">
      <alignment vertical="center"/>
    </xf>
    <xf numFmtId="0" fontId="9" fillId="14" borderId="32" xfId="0" applyFont="1" applyFill="1" applyBorder="1" applyAlignment="1">
      <alignment vertical="center"/>
    </xf>
    <xf numFmtId="42" fontId="0" fillId="14" borderId="39" xfId="0" applyNumberFormat="1" applyFill="1" applyBorder="1" applyAlignment="1">
      <alignment horizontal="center" vertical="center"/>
    </xf>
    <xf numFmtId="0" fontId="9" fillId="14" borderId="71" xfId="0" applyFont="1" applyFill="1" applyBorder="1" applyAlignment="1">
      <alignment vertical="center"/>
    </xf>
    <xf numFmtId="0" fontId="3" fillId="20" borderId="36" xfId="0" applyFont="1" applyFill="1" applyBorder="1" applyAlignment="1">
      <alignment horizontal="right" vertical="center"/>
    </xf>
    <xf numFmtId="167" fontId="3" fillId="20" borderId="5" xfId="0" applyNumberFormat="1" applyFont="1" applyFill="1" applyBorder="1" applyAlignment="1">
      <alignment horizontal="center" vertical="center"/>
    </xf>
    <xf numFmtId="44" fontId="3" fillId="14"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4"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4" borderId="17" xfId="0" applyNumberFormat="1" applyFill="1" applyBorder="1"/>
    <xf numFmtId="175" fontId="0" fillId="14" borderId="18" xfId="0" applyNumberFormat="1" applyFill="1" applyBorder="1" applyAlignment="1">
      <alignment horizontal="center"/>
    </xf>
    <xf numFmtId="44" fontId="0" fillId="14" borderId="20" xfId="0" applyNumberFormat="1" applyFill="1" applyBorder="1"/>
    <xf numFmtId="175" fontId="0" fillId="14" borderId="21" xfId="0" applyNumberFormat="1" applyFill="1" applyBorder="1" applyAlignment="1">
      <alignment horizontal="center"/>
    </xf>
    <xf numFmtId="175" fontId="0" fillId="14" borderId="17" xfId="0" applyNumberFormat="1" applyFill="1" applyBorder="1" applyAlignment="1">
      <alignment horizontal="center"/>
    </xf>
    <xf numFmtId="0" fontId="0" fillId="14" borderId="18" xfId="0" applyFill="1" applyBorder="1"/>
    <xf numFmtId="175" fontId="0" fillId="14" borderId="1" xfId="0" applyNumberFormat="1" applyFill="1" applyBorder="1" applyAlignment="1">
      <alignment horizontal="center"/>
    </xf>
    <xf numFmtId="0" fontId="0" fillId="14" borderId="13" xfId="0" applyFill="1" applyBorder="1"/>
    <xf numFmtId="175" fontId="0" fillId="14" borderId="20" xfId="0" applyNumberFormat="1" applyFill="1" applyBorder="1" applyAlignment="1">
      <alignment horizontal="center"/>
    </xf>
    <xf numFmtId="0" fontId="0" fillId="14"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3" borderId="59" xfId="0" applyFill="1" applyBorder="1" applyAlignment="1">
      <alignment horizontal="center"/>
    </xf>
    <xf numFmtId="42" fontId="0" fillId="14"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4"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0" fontId="36" fillId="19" borderId="48" xfId="0" applyFont="1" applyFill="1" applyBorder="1"/>
    <xf numFmtId="175" fontId="2" fillId="19" borderId="28" xfId="0" applyNumberFormat="1" applyFont="1" applyFill="1" applyBorder="1" applyAlignment="1">
      <alignment horizontal="center"/>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1"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4" borderId="1" xfId="0" quotePrefix="1" applyFont="1" applyFill="1" applyBorder="1" applyAlignment="1">
      <alignment horizontal="center" vertical="center"/>
    </xf>
    <xf numFmtId="0" fontId="3" fillId="13" borderId="1" xfId="0" applyFont="1" applyFill="1" applyBorder="1" applyAlignment="1">
      <alignment horizontal="center" vertical="center"/>
    </xf>
    <xf numFmtId="42" fontId="3" fillId="13" borderId="1" xfId="0" applyNumberFormat="1" applyFont="1" applyFill="1" applyBorder="1" applyAlignment="1">
      <alignment horizontal="center" vertical="center"/>
    </xf>
    <xf numFmtId="0" fontId="40" fillId="13" borderId="1" xfId="0" applyFont="1" applyFill="1" applyBorder="1" applyAlignment="1">
      <alignment horizontal="right" vertical="center" wrapText="1"/>
    </xf>
    <xf numFmtId="0" fontId="3" fillId="14"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4"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4" borderId="8" xfId="0" applyNumberFormat="1" applyFont="1" applyFill="1" applyBorder="1" applyAlignment="1">
      <alignment horizontal="center" vertical="center"/>
    </xf>
    <xf numFmtId="42" fontId="3" fillId="14"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4"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0" fillId="14"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4"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4" borderId="9" xfId="0" applyNumberFormat="1" applyFill="1" applyBorder="1" applyAlignment="1">
      <alignment horizontal="center" vertical="center"/>
    </xf>
    <xf numFmtId="44" fontId="0" fillId="14" borderId="10" xfId="0" applyNumberFormat="1" applyFill="1" applyBorder="1" applyAlignment="1">
      <alignment horizontal="center" vertical="center"/>
    </xf>
    <xf numFmtId="0" fontId="0" fillId="0" borderId="14" xfId="0" applyBorder="1" applyAlignment="1">
      <alignment horizontal="center" vertical="center"/>
    </xf>
    <xf numFmtId="44" fontId="0" fillId="14" borderId="15" xfId="0" applyNumberFormat="1" applyFill="1" applyBorder="1" applyAlignment="1">
      <alignment horizontal="center" vertical="center"/>
    </xf>
    <xf numFmtId="0" fontId="47"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7" fillId="0" borderId="0" xfId="0" applyFont="1" applyAlignment="1">
      <alignment horizontal="left" vertical="center"/>
    </xf>
    <xf numFmtId="44" fontId="43" fillId="16" borderId="0" xfId="0" applyNumberFormat="1" applyFont="1" applyFill="1" applyAlignment="1">
      <alignment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44" fontId="3" fillId="12" borderId="47"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4" borderId="8" xfId="0" applyNumberFormat="1" applyFill="1" applyBorder="1" applyAlignment="1">
      <alignment horizontal="center" vertical="center"/>
    </xf>
    <xf numFmtId="41" fontId="0" fillId="14" borderId="9" xfId="0" applyNumberFormat="1" applyFill="1" applyBorder="1" applyAlignment="1">
      <alignment horizontal="center" vertical="center"/>
    </xf>
    <xf numFmtId="41" fontId="0" fillId="14" borderId="26" xfId="0" applyNumberFormat="1" applyFill="1" applyBorder="1" applyAlignment="1">
      <alignment horizontal="center" vertical="center"/>
    </xf>
    <xf numFmtId="0" fontId="33" fillId="0" borderId="1" xfId="0" applyFont="1" applyBorder="1" applyAlignment="1">
      <alignment horizontal="right" vertical="center" wrapText="1"/>
    </xf>
    <xf numFmtId="0" fontId="3" fillId="13"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3"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3"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3" borderId="13" xfId="0" applyNumberFormat="1" applyFont="1" applyFill="1" applyBorder="1" applyAlignment="1">
      <alignment horizontal="center" vertical="center"/>
    </xf>
    <xf numFmtId="42" fontId="3" fillId="13"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3"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3"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3" borderId="2" xfId="0" applyFont="1" applyFill="1" applyBorder="1" applyAlignment="1">
      <alignment horizontal="right" vertical="center" wrapText="1"/>
    </xf>
    <xf numFmtId="0" fontId="3" fillId="13"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3" borderId="40" xfId="0" applyNumberFormat="1" applyFont="1" applyFill="1" applyBorder="1" applyAlignment="1">
      <alignment horizontal="center" vertical="center"/>
    </xf>
    <xf numFmtId="42" fontId="3" fillId="13" borderId="5" xfId="0" applyNumberFormat="1" applyFont="1" applyFill="1" applyBorder="1" applyAlignment="1">
      <alignment horizontal="center" vertical="center"/>
    </xf>
    <xf numFmtId="0" fontId="0" fillId="14"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3"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4" borderId="17" xfId="0" applyFont="1" applyFill="1" applyBorder="1" applyAlignment="1">
      <alignment horizontal="right" vertical="center" wrapText="1"/>
    </xf>
    <xf numFmtId="0" fontId="9" fillId="14" borderId="6" xfId="0" applyFont="1" applyFill="1" applyBorder="1" applyAlignment="1">
      <alignment horizontal="right" vertical="center" wrapText="1"/>
    </xf>
    <xf numFmtId="0" fontId="9" fillId="0" borderId="6" xfId="0" applyFont="1" applyBorder="1" applyAlignment="1">
      <alignment vertical="center" wrapText="1"/>
    </xf>
    <xf numFmtId="0" fontId="11" fillId="0" borderId="39" xfId="0" applyFont="1" applyBorder="1" applyAlignment="1">
      <alignment horizontal="left" vertical="center" wrapText="1"/>
    </xf>
    <xf numFmtId="0" fontId="40" fillId="14"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3" borderId="4" xfId="0" quotePrefix="1" applyFont="1" applyFill="1" applyBorder="1" applyAlignment="1">
      <alignment horizontal="center" vertical="center"/>
    </xf>
    <xf numFmtId="42" fontId="3" fillId="13"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8"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4"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4" borderId="8" xfId="0" applyNumberFormat="1" applyFill="1" applyBorder="1"/>
    <xf numFmtId="42" fontId="0" fillId="14" borderId="55" xfId="0" applyNumberFormat="1" applyFill="1" applyBorder="1"/>
    <xf numFmtId="0" fontId="0" fillId="14" borderId="15" xfId="0" applyFill="1" applyBorder="1" applyAlignment="1">
      <alignment horizontal="center"/>
    </xf>
    <xf numFmtId="0" fontId="0" fillId="14" borderId="9" xfId="0" applyFill="1" applyBorder="1" applyAlignment="1">
      <alignment horizontal="center"/>
    </xf>
    <xf numFmtId="0" fontId="0" fillId="14" borderId="26" xfId="0" applyFill="1" applyBorder="1" applyAlignment="1">
      <alignment horizontal="center"/>
    </xf>
    <xf numFmtId="9" fontId="0" fillId="0" borderId="3" xfId="0" applyNumberFormat="1" applyBorder="1" applyAlignment="1">
      <alignment horizontal="center"/>
    </xf>
    <xf numFmtId="44" fontId="0" fillId="14" borderId="34" xfId="0" applyNumberFormat="1" applyFill="1" applyBorder="1" applyAlignment="1">
      <alignment vertical="center"/>
    </xf>
    <xf numFmtId="44" fontId="0" fillId="14" borderId="34"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0" fillId="0" borderId="0" xfId="0" applyFont="1" applyAlignment="1">
      <alignment horizontal="center" vertical="center"/>
    </xf>
    <xf numFmtId="0" fontId="51" fillId="0" borderId="0" xfId="0" applyFont="1" applyAlignment="1">
      <alignment vertical="center"/>
    </xf>
    <xf numFmtId="42" fontId="3" fillId="14"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4" borderId="8" xfId="0" applyNumberFormat="1" applyFill="1" applyBorder="1" applyAlignment="1">
      <alignment horizontal="center"/>
    </xf>
    <xf numFmtId="0" fontId="3" fillId="14" borderId="3" xfId="0" applyFont="1" applyFill="1" applyBorder="1" applyAlignment="1">
      <alignment horizontal="center"/>
    </xf>
    <xf numFmtId="175" fontId="0" fillId="14" borderId="38" xfId="0" applyNumberFormat="1" applyFill="1" applyBorder="1" applyAlignment="1">
      <alignment horizontal="center"/>
    </xf>
    <xf numFmtId="0" fontId="0" fillId="0" borderId="0" xfId="0" quotePrefix="1"/>
    <xf numFmtId="42" fontId="0" fillId="14" borderId="12" xfId="0" applyNumberFormat="1" applyFill="1" applyBorder="1" applyAlignment="1">
      <alignment horizontal="center"/>
    </xf>
    <xf numFmtId="0" fontId="3" fillId="2" borderId="70" xfId="0" applyFont="1" applyFill="1" applyBorder="1"/>
    <xf numFmtId="0" fontId="0" fillId="14" borderId="16" xfId="0" applyFill="1" applyBorder="1"/>
    <xf numFmtId="0" fontId="0" fillId="14" borderId="7" xfId="0" applyFill="1" applyBorder="1"/>
    <xf numFmtId="0" fontId="0" fillId="14" borderId="68" xfId="0" applyFill="1" applyBorder="1"/>
    <xf numFmtId="42" fontId="3" fillId="13"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4" borderId="8" xfId="0" applyNumberFormat="1" applyFont="1" applyFill="1" applyBorder="1" applyAlignment="1">
      <alignment horizontal="center"/>
    </xf>
    <xf numFmtId="42" fontId="0" fillId="0" borderId="14" xfId="0" applyNumberFormat="1" applyBorder="1" applyAlignment="1">
      <alignment horizontal="center"/>
    </xf>
    <xf numFmtId="42" fontId="3" fillId="14" borderId="3" xfId="0" applyNumberFormat="1" applyFont="1" applyFill="1" applyBorder="1" applyAlignment="1">
      <alignment horizontal="center"/>
    </xf>
    <xf numFmtId="42" fontId="3" fillId="13"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3" borderId="19" xfId="0" applyNumberFormat="1" applyFont="1" applyFill="1" applyBorder="1" applyAlignment="1">
      <alignment horizontal="center" vertical="center"/>
    </xf>
    <xf numFmtId="0" fontId="0" fillId="14" borderId="33" xfId="0" applyFill="1" applyBorder="1" applyAlignment="1">
      <alignment horizontal="center"/>
    </xf>
    <xf numFmtId="0" fontId="0" fillId="14" borderId="34" xfId="0" applyFill="1" applyBorder="1" applyAlignment="1">
      <alignment horizontal="center"/>
    </xf>
    <xf numFmtId="42" fontId="0" fillId="14" borderId="9" xfId="0" applyNumberFormat="1" applyFill="1" applyBorder="1" applyAlignment="1">
      <alignment horizontal="center"/>
    </xf>
    <xf numFmtId="42" fontId="0" fillId="14" borderId="26" xfId="0" applyNumberFormat="1" applyFill="1" applyBorder="1" applyAlignment="1">
      <alignment horizontal="center"/>
    </xf>
    <xf numFmtId="42" fontId="3" fillId="13" borderId="24" xfId="0" applyNumberFormat="1" applyFont="1" applyFill="1" applyBorder="1" applyAlignment="1">
      <alignment horizontal="center"/>
    </xf>
    <xf numFmtId="42" fontId="0" fillId="14" borderId="15" xfId="0" applyNumberFormat="1" applyFill="1" applyBorder="1" applyAlignment="1">
      <alignment horizontal="center"/>
    </xf>
    <xf numFmtId="0" fontId="3" fillId="14" borderId="8" xfId="0" applyFont="1" applyFill="1" applyBorder="1" applyAlignment="1">
      <alignment horizontal="center"/>
    </xf>
    <xf numFmtId="0" fontId="0" fillId="14" borderId="17" xfId="0" applyFill="1" applyBorder="1" applyAlignment="1">
      <alignment horizontal="center"/>
    </xf>
    <xf numFmtId="0" fontId="0" fillId="14" borderId="64" xfId="0" applyFill="1" applyBorder="1" applyAlignment="1">
      <alignment horizontal="center"/>
    </xf>
    <xf numFmtId="0" fontId="0" fillId="13" borderId="36" xfId="0" applyFill="1" applyBorder="1" applyAlignment="1">
      <alignment horizontal="center"/>
    </xf>
    <xf numFmtId="0" fontId="0" fillId="14" borderId="6" xfId="0" applyFill="1" applyBorder="1" applyAlignment="1">
      <alignment horizontal="center"/>
    </xf>
    <xf numFmtId="0" fontId="0" fillId="3" borderId="36" xfId="0" applyFill="1" applyBorder="1" applyAlignment="1">
      <alignment horizontal="center"/>
    </xf>
    <xf numFmtId="42" fontId="0" fillId="14"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4" borderId="43" xfId="0" applyFill="1" applyBorder="1" applyAlignment="1">
      <alignment horizontal="center"/>
    </xf>
    <xf numFmtId="42" fontId="0" fillId="14" borderId="8" xfId="0" applyNumberFormat="1" applyFill="1" applyBorder="1" applyAlignment="1">
      <alignment horizontal="center" vertical="center"/>
    </xf>
    <xf numFmtId="42" fontId="0" fillId="14" borderId="9" xfId="0" applyNumberFormat="1" applyFill="1" applyBorder="1" applyAlignment="1">
      <alignment horizontal="center" vertical="center"/>
    </xf>
    <xf numFmtId="42" fontId="0" fillId="14" borderId="26" xfId="0" applyNumberFormat="1" applyFill="1" applyBorder="1" applyAlignment="1">
      <alignment horizontal="center" vertical="center"/>
    </xf>
    <xf numFmtId="42" fontId="0" fillId="14" borderId="54" xfId="0" applyNumberFormat="1" applyFill="1" applyBorder="1" applyAlignment="1">
      <alignment horizontal="center" vertical="center"/>
    </xf>
    <xf numFmtId="42" fontId="0" fillId="14" borderId="15" xfId="0" applyNumberFormat="1" applyFill="1" applyBorder="1" applyAlignment="1">
      <alignment horizontal="center" vertical="center"/>
    </xf>
    <xf numFmtId="42" fontId="0" fillId="14" borderId="53" xfId="0" applyNumberFormat="1" applyFill="1" applyBorder="1" applyAlignment="1">
      <alignment horizontal="center" vertical="center"/>
    </xf>
    <xf numFmtId="42" fontId="0" fillId="14" borderId="10" xfId="0" applyNumberFormat="1" applyFill="1" applyBorder="1" applyAlignment="1">
      <alignment horizontal="center" vertical="center"/>
    </xf>
    <xf numFmtId="42" fontId="0" fillId="14"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3" borderId="59" xfId="0" applyFont="1" applyFill="1" applyBorder="1" applyAlignment="1">
      <alignment horizontal="center"/>
    </xf>
    <xf numFmtId="42" fontId="3" fillId="3" borderId="48" xfId="0" applyNumberFormat="1" applyFont="1" applyFill="1" applyBorder="1" applyAlignment="1">
      <alignment horizontal="center"/>
    </xf>
    <xf numFmtId="42" fontId="0" fillId="14" borderId="56" xfId="0" applyNumberFormat="1" applyFill="1" applyBorder="1" applyAlignment="1">
      <alignment horizontal="center"/>
    </xf>
    <xf numFmtId="42" fontId="0" fillId="14" borderId="54" xfId="0" applyNumberFormat="1" applyFill="1" applyBorder="1" applyAlignment="1">
      <alignment horizontal="center"/>
    </xf>
    <xf numFmtId="42" fontId="0" fillId="14" borderId="53" xfId="0" applyNumberFormat="1" applyFill="1" applyBorder="1" applyAlignment="1">
      <alignment horizontal="center"/>
    </xf>
    <xf numFmtId="42" fontId="0" fillId="14" borderId="55" xfId="0" applyNumberFormat="1" applyFill="1" applyBorder="1" applyAlignment="1">
      <alignment horizontal="center"/>
    </xf>
    <xf numFmtId="42" fontId="3" fillId="2" borderId="50" xfId="0" applyNumberFormat="1" applyFont="1" applyFill="1" applyBorder="1" applyAlignment="1">
      <alignment horizontal="center"/>
    </xf>
    <xf numFmtId="42" fontId="0" fillId="14" borderId="58" xfId="0" applyNumberFormat="1" applyFill="1" applyBorder="1" applyAlignment="1">
      <alignment horizontal="center"/>
    </xf>
    <xf numFmtId="42" fontId="0" fillId="14"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4" borderId="69" xfId="0" applyNumberFormat="1" applyFill="1" applyBorder="1" applyAlignment="1">
      <alignment horizontal="center"/>
    </xf>
    <xf numFmtId="42" fontId="0" fillId="14" borderId="72" xfId="0" applyNumberFormat="1" applyFill="1" applyBorder="1" applyAlignment="1">
      <alignment horizontal="center"/>
    </xf>
    <xf numFmtId="42" fontId="11" fillId="13" borderId="28" xfId="0" applyNumberFormat="1" applyFont="1" applyFill="1" applyBorder="1" applyAlignment="1">
      <alignment horizontal="center"/>
    </xf>
    <xf numFmtId="42" fontId="3" fillId="13" borderId="28" xfId="0" applyNumberFormat="1" applyFont="1" applyFill="1" applyBorder="1" applyAlignment="1">
      <alignment horizontal="center"/>
    </xf>
    <xf numFmtId="42" fontId="11" fillId="13" borderId="3" xfId="0" applyNumberFormat="1" applyFont="1" applyFill="1" applyBorder="1" applyAlignment="1">
      <alignment horizontal="center"/>
    </xf>
    <xf numFmtId="42" fontId="0" fillId="14" borderId="14" xfId="0" applyNumberFormat="1" applyFill="1" applyBorder="1" applyAlignment="1">
      <alignment horizontal="center"/>
    </xf>
    <xf numFmtId="42" fontId="29" fillId="14"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4" borderId="11" xfId="0" applyNumberFormat="1" applyFont="1" applyFill="1" applyBorder="1" applyAlignment="1">
      <alignment horizontal="center"/>
    </xf>
    <xf numFmtId="42" fontId="29" fillId="14" borderId="12" xfId="0" applyNumberFormat="1" applyFont="1" applyFill="1" applyBorder="1" applyAlignment="1">
      <alignment horizontal="center"/>
    </xf>
    <xf numFmtId="42" fontId="29" fillId="14" borderId="13" xfId="0" applyNumberFormat="1" applyFont="1" applyFill="1" applyBorder="1" applyAlignment="1">
      <alignment horizontal="center"/>
    </xf>
    <xf numFmtId="0" fontId="0" fillId="0" borderId="10" xfId="0" applyBorder="1" applyAlignment="1">
      <alignment horizontal="center"/>
    </xf>
    <xf numFmtId="0" fontId="3" fillId="13" borderId="3" xfId="0" applyFont="1" applyFill="1" applyBorder="1" applyAlignment="1">
      <alignment horizontal="center"/>
    </xf>
    <xf numFmtId="44" fontId="13" fillId="0" borderId="0" xfId="2" applyNumberFormat="1" applyAlignment="1">
      <alignment vertical="center"/>
    </xf>
    <xf numFmtId="42" fontId="3" fillId="14" borderId="9" xfId="0" applyNumberFormat="1" applyFont="1" applyFill="1" applyBorder="1"/>
    <xf numFmtId="42" fontId="3" fillId="14"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2" borderId="14" xfId="0" applyFont="1" applyFill="1" applyBorder="1" applyAlignment="1">
      <alignment horizontal="center" vertical="center"/>
    </xf>
    <xf numFmtId="0" fontId="3" fillId="22"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0" fontId="0" fillId="0" borderId="23" xfId="0" applyBorder="1" applyAlignment="1">
      <alignment horizontal="center"/>
    </xf>
    <xf numFmtId="42" fontId="0" fillId="14" borderId="23" xfId="0" applyNumberFormat="1" applyFill="1" applyBorder="1" applyAlignment="1">
      <alignment horizontal="center"/>
    </xf>
    <xf numFmtId="0" fontId="0" fillId="2" borderId="3" xfId="0" applyFill="1" applyBorder="1" applyAlignment="1">
      <alignment horizontal="center"/>
    </xf>
    <xf numFmtId="0" fontId="60" fillId="0" borderId="1" xfId="0" applyFont="1" applyBorder="1" applyAlignment="1">
      <alignment vertical="center" wrapText="1"/>
    </xf>
    <xf numFmtId="0" fontId="59" fillId="0" borderId="37" xfId="0" applyFont="1" applyBorder="1" applyAlignment="1">
      <alignment horizontal="center" vertical="center"/>
    </xf>
    <xf numFmtId="0" fontId="60" fillId="0" borderId="11" xfId="0" applyFont="1" applyBorder="1" applyAlignment="1">
      <alignment vertical="center" wrapText="1"/>
    </xf>
    <xf numFmtId="0" fontId="60" fillId="0" borderId="20" xfId="0" applyFont="1" applyBorder="1" applyAlignment="1">
      <alignment vertical="center" wrapText="1"/>
    </xf>
    <xf numFmtId="0" fontId="60" fillId="0" borderId="6" xfId="0" applyFont="1" applyBorder="1" applyAlignment="1">
      <alignment vertical="center" wrapText="1"/>
    </xf>
    <xf numFmtId="0" fontId="0" fillId="0" borderId="57" xfId="0" applyBorder="1" applyAlignment="1">
      <alignment horizontal="center" vertical="center"/>
    </xf>
    <xf numFmtId="42" fontId="3" fillId="14" borderId="31" xfId="0" applyNumberFormat="1" applyFont="1" applyFill="1" applyBorder="1" applyAlignment="1">
      <alignment horizontal="center"/>
    </xf>
    <xf numFmtId="42" fontId="3" fillId="14" borderId="58" xfId="0" applyNumberFormat="1" applyFont="1" applyFill="1" applyBorder="1"/>
    <xf numFmtId="0" fontId="3" fillId="13" borderId="36" xfId="0" applyFont="1" applyFill="1" applyBorder="1" applyAlignment="1">
      <alignment horizontal="center"/>
    </xf>
    <xf numFmtId="42" fontId="0" fillId="14"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14" borderId="26" xfId="0" applyFont="1" applyFill="1" applyBorder="1" applyAlignment="1">
      <alignment horizontal="center"/>
    </xf>
    <xf numFmtId="175" fontId="0" fillId="14" borderId="39" xfId="0" applyNumberFormat="1" applyFill="1" applyBorder="1" applyAlignment="1">
      <alignment horizontal="center"/>
    </xf>
    <xf numFmtId="42" fontId="3" fillId="14" borderId="26" xfId="0" applyNumberFormat="1" applyFont="1" applyFill="1" applyBorder="1" applyAlignment="1">
      <alignment horizontal="center"/>
    </xf>
    <xf numFmtId="0" fontId="41" fillId="19" borderId="48" xfId="0" applyFont="1" applyFill="1" applyBorder="1"/>
    <xf numFmtId="0" fontId="41" fillId="19"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3" borderId="3" xfId="0" applyFill="1" applyBorder="1" applyAlignment="1">
      <alignment horizontal="center" vertical="center"/>
    </xf>
    <xf numFmtId="0" fontId="0" fillId="14"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0"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39" fillId="6" borderId="19" xfId="0" applyFont="1" applyFill="1" applyBorder="1"/>
    <xf numFmtId="0" fontId="39" fillId="6" borderId="28" xfId="0" applyFont="1" applyFill="1" applyBorder="1"/>
    <xf numFmtId="0" fontId="39" fillId="6" borderId="3" xfId="0" applyFont="1" applyFill="1" applyBorder="1"/>
    <xf numFmtId="0" fontId="29" fillId="6" borderId="22" xfId="0" applyFont="1" applyFill="1" applyBorder="1"/>
    <xf numFmtId="0" fontId="29" fillId="6" borderId="50" xfId="0" applyFont="1" applyFill="1" applyBorder="1"/>
    <xf numFmtId="0" fontId="3" fillId="13" borderId="8" xfId="0" applyFont="1" applyFill="1" applyBorder="1" applyAlignment="1">
      <alignment horizontal="center" vertical="center"/>
    </xf>
    <xf numFmtId="0" fontId="3" fillId="13" borderId="26" xfId="0" applyFont="1" applyFill="1" applyBorder="1" applyAlignment="1">
      <alignment horizontal="center" vertical="center"/>
    </xf>
    <xf numFmtId="0" fontId="29" fillId="6" borderId="23" xfId="0" applyFont="1" applyFill="1" applyBorder="1"/>
    <xf numFmtId="0" fontId="30"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4" borderId="10" xfId="0" applyNumberFormat="1" applyFill="1" applyBorder="1" applyAlignment="1">
      <alignment vertical="center"/>
    </xf>
    <xf numFmtId="42" fontId="14" fillId="14" borderId="34" xfId="0" applyNumberFormat="1" applyFont="1" applyFill="1" applyBorder="1" applyAlignment="1">
      <alignment horizontal="center" vertical="center"/>
    </xf>
    <xf numFmtId="42" fontId="14" fillId="14" borderId="35" xfId="0" applyNumberFormat="1" applyFont="1" applyFill="1" applyBorder="1" applyAlignment="1">
      <alignment horizontal="center" vertical="center"/>
    </xf>
    <xf numFmtId="42" fontId="0" fillId="0" borderId="26" xfId="0" applyNumberFormat="1" applyBorder="1" applyAlignment="1">
      <alignment horizontal="center" vertical="center"/>
    </xf>
    <xf numFmtId="42" fontId="0" fillId="14" borderId="8" xfId="0" applyNumberFormat="1" applyFill="1" applyBorder="1" applyAlignment="1">
      <alignment vertical="center"/>
    </xf>
    <xf numFmtId="42" fontId="0" fillId="14" borderId="9" xfId="0" applyNumberFormat="1" applyFill="1" applyBorder="1" applyAlignment="1">
      <alignment vertical="center"/>
    </xf>
    <xf numFmtId="42" fontId="0" fillId="0" borderId="10" xfId="0" applyNumberFormat="1" applyBorder="1" applyAlignment="1">
      <alignment vertical="center"/>
    </xf>
    <xf numFmtId="41" fontId="0" fillId="14" borderId="31" xfId="0" applyNumberFormat="1" applyFill="1" applyBorder="1" applyAlignment="1">
      <alignment horizontal="center" vertical="center"/>
    </xf>
    <xf numFmtId="41" fontId="0" fillId="14"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4" borderId="33" xfId="0" applyNumberFormat="1" applyFill="1" applyBorder="1" applyAlignment="1">
      <alignment horizontal="center" vertical="center"/>
    </xf>
    <xf numFmtId="42" fontId="0" fillId="14" borderId="34" xfId="0" applyNumberFormat="1" applyFill="1" applyBorder="1" applyAlignment="1">
      <alignment horizontal="center" vertical="center"/>
    </xf>
    <xf numFmtId="42" fontId="9" fillId="14"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4" borderId="13"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4" borderId="9" xfId="0" applyNumberFormat="1" applyFill="1" applyBorder="1" applyAlignment="1">
      <alignment vertical="center"/>
    </xf>
    <xf numFmtId="42" fontId="0" fillId="14" borderId="48" xfId="0" applyNumberFormat="1" applyFill="1" applyBorder="1" applyAlignment="1">
      <alignment vertical="center"/>
    </xf>
    <xf numFmtId="44" fontId="0" fillId="14" borderId="8" xfId="0" applyNumberFormat="1" applyFill="1" applyBorder="1" applyAlignment="1">
      <alignment vertical="center"/>
    </xf>
    <xf numFmtId="44" fontId="0" fillId="14" borderId="26" xfId="0" applyNumberFormat="1" applyFill="1" applyBorder="1" applyAlignment="1">
      <alignment vertical="center"/>
    </xf>
    <xf numFmtId="44" fontId="0" fillId="14" borderId="48" xfId="0" applyNumberFormat="1" applyFill="1" applyBorder="1" applyAlignment="1">
      <alignment vertical="center"/>
    </xf>
    <xf numFmtId="1" fontId="0" fillId="14" borderId="9" xfId="0" applyNumberFormat="1" applyFill="1" applyBorder="1" applyAlignment="1">
      <alignment horizontal="center" vertical="center"/>
    </xf>
    <xf numFmtId="169" fontId="0" fillId="14" borderId="18" xfId="0" applyNumberFormat="1" applyFill="1" applyBorder="1" applyAlignment="1">
      <alignment horizontal="center" vertical="center"/>
    </xf>
    <xf numFmtId="169" fontId="0" fillId="14" borderId="21" xfId="0" applyNumberFormat="1" applyFill="1" applyBorder="1" applyAlignment="1">
      <alignment horizontal="center" vertical="center"/>
    </xf>
    <xf numFmtId="169" fontId="0" fillId="14" borderId="8" xfId="0" applyNumberFormat="1" applyFill="1" applyBorder="1" applyAlignment="1">
      <alignment horizontal="center" vertical="center"/>
    </xf>
    <xf numFmtId="169" fontId="0" fillId="14" borderId="26" xfId="0" applyNumberFormat="1" applyFill="1" applyBorder="1" applyAlignment="1">
      <alignment horizontal="center" vertical="center"/>
    </xf>
    <xf numFmtId="44" fontId="0" fillId="14" borderId="36"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6"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3" fillId="0" borderId="0" xfId="0" applyFont="1"/>
    <xf numFmtId="0" fontId="40" fillId="0" borderId="0" xfId="0" applyFont="1"/>
    <xf numFmtId="42" fontId="3" fillId="2" borderId="23" xfId="0" applyNumberFormat="1" applyFont="1" applyFill="1" applyBorder="1" applyAlignment="1">
      <alignment horizontal="center" wrapText="1"/>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3" borderId="61" xfId="0" quotePrefix="1" applyFont="1" applyFill="1" applyBorder="1" applyAlignment="1">
      <alignment horizontal="right" vertical="center" wrapText="1"/>
    </xf>
    <xf numFmtId="0" fontId="3" fillId="13"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2" fillId="0" borderId="1" xfId="0" applyFont="1" applyBorder="1" applyAlignment="1">
      <alignment horizontal="right" vertical="center" wrapText="1"/>
    </xf>
    <xf numFmtId="0" fontId="42" fillId="0" borderId="17" xfId="0" applyFont="1" applyBorder="1" applyAlignment="1">
      <alignment horizontal="right" vertical="center" wrapText="1"/>
    </xf>
    <xf numFmtId="0" fontId="3" fillId="0" borderId="41" xfId="0" applyFont="1" applyBorder="1" applyAlignment="1">
      <alignment vertical="center"/>
    </xf>
    <xf numFmtId="0" fontId="40"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4"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4"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4"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4"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7" borderId="1" xfId="0" applyFont="1" applyFill="1" applyBorder="1" applyAlignment="1">
      <alignment vertical="center" wrapText="1"/>
    </xf>
    <xf numFmtId="0" fontId="24" fillId="17" borderId="20" xfId="0" applyFont="1" applyFill="1" applyBorder="1" applyAlignment="1">
      <alignment vertical="center" wrapText="1"/>
    </xf>
    <xf numFmtId="44" fontId="69"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0"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2"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11" fillId="2" borderId="19" xfId="0" applyNumberFormat="1" applyFont="1" applyFill="1" applyBorder="1" applyAlignment="1">
      <alignment horizontal="center" vertical="center"/>
    </xf>
    <xf numFmtId="42" fontId="9" fillId="14" borderId="38" xfId="0" applyNumberFormat="1" applyFont="1" applyFill="1" applyBorder="1" applyAlignment="1">
      <alignment horizontal="center" vertical="center"/>
    </xf>
    <xf numFmtId="42" fontId="9" fillId="14"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4" borderId="39" xfId="0" applyNumberFormat="1" applyFont="1" applyFill="1" applyBorder="1" applyAlignment="1">
      <alignment horizontal="center" vertical="center"/>
    </xf>
    <xf numFmtId="42" fontId="9" fillId="14"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4"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4"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40" fillId="22"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2" borderId="29" xfId="0" applyNumberFormat="1" applyFont="1" applyFill="1" applyBorder="1" applyAlignment="1">
      <alignment vertical="center"/>
    </xf>
    <xf numFmtId="0" fontId="3" fillId="22" borderId="24" xfId="0" applyFont="1" applyFill="1" applyBorder="1" applyAlignment="1">
      <alignment horizontal="right" vertical="center"/>
    </xf>
    <xf numFmtId="0" fontId="0" fillId="16" borderId="48" xfId="0" applyFill="1" applyBorder="1" applyAlignment="1">
      <alignment vertical="center"/>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0" fontId="0" fillId="13" borderId="28" xfId="0" applyFill="1" applyBorder="1" applyAlignment="1">
      <alignment horizontal="center" vertical="center"/>
    </xf>
    <xf numFmtId="0" fontId="3" fillId="2" borderId="48" xfId="0" applyFont="1" applyFill="1" applyBorder="1" applyAlignment="1">
      <alignment horizontal="center" vertical="center"/>
    </xf>
    <xf numFmtId="0" fontId="3" fillId="13"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4"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39" fillId="0" borderId="21" xfId="0" applyNumberFormat="1" applyFont="1" applyBorder="1" applyAlignment="1">
      <alignment horizontal="center" vertical="center"/>
    </xf>
    <xf numFmtId="42" fontId="0" fillId="14" borderId="41" xfId="0" applyNumberFormat="1" applyFill="1" applyBorder="1" applyAlignment="1">
      <alignment horizontal="center"/>
    </xf>
    <xf numFmtId="42" fontId="0" fillId="14" borderId="37" xfId="0" applyNumberFormat="1" applyFill="1" applyBorder="1" applyAlignment="1">
      <alignment horizontal="center"/>
    </xf>
    <xf numFmtId="42" fontId="0" fillId="14"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3" borderId="4" xfId="0" applyNumberFormat="1" applyFont="1" applyFill="1" applyBorder="1" applyAlignment="1">
      <alignment horizontal="center"/>
    </xf>
    <xf numFmtId="42" fontId="29" fillId="13" borderId="5" xfId="0" applyNumberFormat="1" applyFont="1" applyFill="1" applyBorder="1" applyAlignment="1">
      <alignment horizontal="center"/>
    </xf>
    <xf numFmtId="0" fontId="3" fillId="13" borderId="70" xfId="0" applyFont="1" applyFill="1" applyBorder="1" applyAlignment="1">
      <alignment horizontal="right"/>
    </xf>
    <xf numFmtId="0" fontId="0" fillId="14"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4" borderId="50" xfId="0" applyNumberFormat="1" applyFont="1" applyFill="1" applyBorder="1" applyAlignment="1">
      <alignment horizontal="center"/>
    </xf>
    <xf numFmtId="42" fontId="9" fillId="14" borderId="72" xfId="0" applyNumberFormat="1" applyFont="1" applyFill="1" applyBorder="1" applyAlignment="1">
      <alignment horizontal="center"/>
    </xf>
    <xf numFmtId="42" fontId="9" fillId="14" borderId="32" xfId="0" applyNumberFormat="1" applyFont="1" applyFill="1" applyBorder="1" applyAlignment="1">
      <alignment horizontal="center"/>
    </xf>
    <xf numFmtId="0" fontId="11" fillId="13" borderId="23" xfId="0" applyFont="1" applyFill="1" applyBorder="1" applyAlignment="1">
      <alignment horizontal="right"/>
    </xf>
    <xf numFmtId="42" fontId="3" fillId="13" borderId="50" xfId="0" applyNumberFormat="1" applyFont="1" applyFill="1" applyBorder="1"/>
    <xf numFmtId="0" fontId="42" fillId="3" borderId="3" xfId="0" applyFont="1" applyFill="1" applyBorder="1" applyAlignment="1">
      <alignment horizontal="right"/>
    </xf>
    <xf numFmtId="44" fontId="40" fillId="3" borderId="24" xfId="0" applyNumberFormat="1" applyFont="1" applyFill="1" applyBorder="1"/>
    <xf numFmtId="175" fontId="40" fillId="14" borderId="3" xfId="0" applyNumberFormat="1" applyFont="1" applyFill="1" applyBorder="1" applyAlignment="1">
      <alignment horizontal="center"/>
    </xf>
    <xf numFmtId="0" fontId="0" fillId="21" borderId="53" xfId="0" applyFill="1" applyBorder="1" applyAlignment="1">
      <alignment horizontal="center" vertical="center"/>
    </xf>
    <xf numFmtId="0" fontId="0" fillId="21" borderId="54" xfId="0" applyFill="1" applyBorder="1" applyAlignment="1">
      <alignment horizontal="center" vertical="center"/>
    </xf>
    <xf numFmtId="0" fontId="0" fillId="21"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6" borderId="9" xfId="0" applyFill="1" applyBorder="1" applyAlignment="1">
      <alignment vertical="center"/>
    </xf>
    <xf numFmtId="0" fontId="0" fillId="16" borderId="26" xfId="0" applyFill="1" applyBorder="1" applyAlignment="1">
      <alignment vertical="center"/>
    </xf>
    <xf numFmtId="175" fontId="40" fillId="14" borderId="28" xfId="0" applyNumberFormat="1" applyFont="1" applyFill="1" applyBorder="1" applyAlignment="1">
      <alignment horizontal="center"/>
    </xf>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4" borderId="30" xfId="0" applyNumberFormat="1" applyFill="1" applyBorder="1" applyAlignment="1">
      <alignment horizontal="center"/>
    </xf>
    <xf numFmtId="42" fontId="40" fillId="14"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0" fontId="50" fillId="19" borderId="48" xfId="0" applyFont="1" applyFill="1" applyBorder="1" applyAlignment="1">
      <alignment horizontal="center" vertical="center"/>
    </xf>
    <xf numFmtId="0" fontId="51" fillId="19" borderId="19" xfId="0" applyFont="1" applyFill="1" applyBorder="1" applyAlignment="1">
      <alignment vertical="center"/>
    </xf>
    <xf numFmtId="44" fontId="50" fillId="19" borderId="19" xfId="0" applyNumberFormat="1" applyFont="1" applyFill="1" applyBorder="1" applyAlignment="1">
      <alignment vertical="center"/>
    </xf>
    <xf numFmtId="0" fontId="50" fillId="19" borderId="19" xfId="0" applyFont="1" applyFill="1" applyBorder="1" applyAlignment="1">
      <alignment vertical="center"/>
    </xf>
    <xf numFmtId="0" fontId="50" fillId="19" borderId="28" xfId="0" applyFont="1" applyFill="1" applyBorder="1" applyAlignment="1">
      <alignment vertical="center"/>
    </xf>
    <xf numFmtId="0" fontId="9" fillId="17" borderId="1" xfId="0" applyFont="1" applyFill="1" applyBorder="1" applyAlignment="1">
      <alignment vertical="center" wrapText="1"/>
    </xf>
    <xf numFmtId="0" fontId="9" fillId="17"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4" borderId="15" xfId="0" applyNumberFormat="1" applyFill="1" applyBorder="1"/>
    <xf numFmtId="42" fontId="0" fillId="14" borderId="10" xfId="0" applyNumberFormat="1" applyFill="1" applyBorder="1"/>
    <xf numFmtId="0" fontId="10" fillId="0" borderId="0" xfId="0" applyFont="1"/>
    <xf numFmtId="42" fontId="0" fillId="0" borderId="0" xfId="0" applyNumberFormat="1"/>
    <xf numFmtId="0" fontId="72" fillId="19"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4" borderId="15" xfId="0" applyNumberFormat="1" applyFont="1" applyFill="1" applyBorder="1" applyAlignment="1">
      <alignment horizontal="center" vertical="center"/>
    </xf>
    <xf numFmtId="0" fontId="0" fillId="0" borderId="14" xfId="0" applyBorder="1"/>
    <xf numFmtId="44" fontId="0" fillId="14" borderId="45" xfId="0" applyNumberFormat="1" applyFill="1" applyBorder="1" applyAlignment="1">
      <alignment vertical="center"/>
    </xf>
    <xf numFmtId="44" fontId="0" fillId="14" borderId="47" xfId="0" applyNumberFormat="1" applyFill="1" applyBorder="1" applyAlignment="1">
      <alignment vertical="center"/>
    </xf>
    <xf numFmtId="44" fontId="0" fillId="14" borderId="31" xfId="0" applyNumberFormat="1" applyFill="1" applyBorder="1" applyAlignment="1">
      <alignment vertical="center"/>
    </xf>
    <xf numFmtId="44" fontId="0" fillId="14"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4" borderId="8" xfId="0" applyNumberFormat="1" applyFill="1" applyBorder="1" applyAlignment="1">
      <alignment horizontal="center" vertical="center"/>
    </xf>
    <xf numFmtId="44" fontId="0" fillId="14" borderId="26" xfId="0" applyNumberFormat="1" applyFill="1" applyBorder="1" applyAlignment="1">
      <alignment horizontal="center" vertical="center"/>
    </xf>
    <xf numFmtId="44" fontId="3" fillId="14" borderId="45" xfId="0" applyNumberFormat="1" applyFont="1" applyFill="1" applyBorder="1" applyAlignment="1">
      <alignment vertical="center"/>
    </xf>
    <xf numFmtId="44" fontId="3" fillId="14" borderId="76" xfId="0" applyNumberFormat="1" applyFont="1" applyFill="1" applyBorder="1" applyAlignment="1">
      <alignment vertical="center"/>
    </xf>
    <xf numFmtId="0" fontId="2" fillId="5" borderId="3" xfId="0" applyFont="1" applyFill="1" applyBorder="1" applyAlignment="1">
      <alignment vertical="center" wrapText="1"/>
    </xf>
    <xf numFmtId="44" fontId="3" fillId="14" borderId="9" xfId="0" applyNumberFormat="1" applyFont="1" applyFill="1" applyBorder="1" applyAlignment="1">
      <alignment horizontal="center" vertical="center"/>
    </xf>
    <xf numFmtId="44" fontId="3" fillId="14"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11" fillId="13" borderId="3" xfId="0" applyNumberFormat="1" applyFont="1" applyFill="1" applyBorder="1" applyAlignment="1">
      <alignment horizontal="center" vertical="center"/>
    </xf>
    <xf numFmtId="42" fontId="32" fillId="0" borderId="24" xfId="0" applyNumberFormat="1" applyFont="1" applyBorder="1" applyAlignment="1">
      <alignment horizontal="center" vertical="center"/>
    </xf>
    <xf numFmtId="42" fontId="11" fillId="13" borderId="14" xfId="0" applyNumberFormat="1" applyFont="1" applyFill="1" applyBorder="1" applyAlignment="1">
      <alignment horizontal="center" vertical="center"/>
    </xf>
    <xf numFmtId="42" fontId="11" fillId="14" borderId="9" xfId="0" applyNumberFormat="1" applyFont="1" applyFill="1" applyBorder="1" applyAlignment="1">
      <alignment horizontal="center" vertical="center"/>
    </xf>
    <xf numFmtId="42" fontId="32" fillId="16" borderId="10" xfId="0" applyNumberFormat="1" applyFont="1" applyFill="1" applyBorder="1" applyAlignment="1">
      <alignment horizontal="center" vertical="center"/>
    </xf>
    <xf numFmtId="42" fontId="59" fillId="0" borderId="26" xfId="0" quotePrefix="1" applyNumberFormat="1" applyFont="1" applyBorder="1" applyAlignment="1">
      <alignment horizontal="center" vertical="center"/>
    </xf>
    <xf numFmtId="42" fontId="32"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3" borderId="3" xfId="0" applyNumberFormat="1" applyFont="1" applyFill="1" applyBorder="1" applyAlignment="1">
      <alignment horizontal="center" vertical="center"/>
    </xf>
    <xf numFmtId="42" fontId="3" fillId="14"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4" borderId="10" xfId="0" applyNumberFormat="1" applyFont="1" applyFill="1" applyBorder="1" applyAlignment="1">
      <alignment horizontal="center" vertical="center"/>
    </xf>
    <xf numFmtId="42" fontId="2" fillId="13"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59" fillId="0" borderId="9" xfId="0" quotePrefix="1" applyNumberFormat="1" applyFont="1" applyBorder="1" applyAlignment="1">
      <alignment horizontal="center" vertical="center"/>
    </xf>
    <xf numFmtId="42" fontId="2" fillId="14" borderId="9"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3" fillId="19" borderId="19" xfId="0" applyNumberFormat="1" applyFont="1" applyFill="1" applyBorder="1" applyAlignment="1">
      <alignment horizontal="center" vertical="center"/>
    </xf>
    <xf numFmtId="42" fontId="3" fillId="14" borderId="45" xfId="0" applyNumberFormat="1" applyFont="1" applyFill="1" applyBorder="1" applyAlignment="1">
      <alignment horizontal="center" vertical="center"/>
    </xf>
    <xf numFmtId="42" fontId="11" fillId="14" borderId="46" xfId="0" applyNumberFormat="1" applyFont="1" applyFill="1" applyBorder="1" applyAlignment="1">
      <alignment horizontal="center" vertical="center"/>
    </xf>
    <xf numFmtId="42" fontId="3" fillId="14"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59" fillId="0" borderId="47" xfId="0" quotePrefix="1" applyNumberFormat="1" applyFont="1" applyBorder="1" applyAlignment="1">
      <alignment horizontal="center" vertical="center"/>
    </xf>
    <xf numFmtId="42" fontId="59" fillId="0" borderId="46" xfId="0" quotePrefix="1" applyNumberFormat="1" applyFont="1" applyBorder="1" applyAlignment="1">
      <alignment horizontal="center" vertical="center"/>
    </xf>
    <xf numFmtId="42" fontId="3" fillId="14" borderId="76" xfId="0" applyNumberFormat="1" applyFont="1" applyFill="1" applyBorder="1" applyAlignment="1">
      <alignment horizontal="center" vertical="center"/>
    </xf>
    <xf numFmtId="42" fontId="3" fillId="14"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3" borderId="19" xfId="0" applyNumberFormat="1" applyFont="1" applyFill="1" applyBorder="1" applyAlignment="1">
      <alignment horizontal="center" vertical="center"/>
    </xf>
    <xf numFmtId="42" fontId="3" fillId="14"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19" borderId="19" xfId="0" applyNumberFormat="1" applyFont="1" applyFill="1" applyBorder="1" applyAlignment="1">
      <alignment horizontal="center" vertical="center"/>
    </xf>
    <xf numFmtId="42" fontId="32" fillId="16"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2" fillId="16"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59"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3" borderId="14" xfId="0" applyNumberFormat="1" applyFont="1" applyFill="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59" fillId="0" borderId="9" xfId="0" applyNumberFormat="1" applyFont="1" applyBorder="1" applyAlignment="1">
      <alignment horizontal="center" vertical="center"/>
    </xf>
    <xf numFmtId="42" fontId="11" fillId="13" borderId="19" xfId="0" applyNumberFormat="1" applyFont="1" applyFill="1" applyBorder="1" applyAlignment="1">
      <alignment horizontal="center" vertical="center"/>
    </xf>
    <xf numFmtId="42" fontId="32" fillId="0" borderId="19" xfId="0" applyNumberFormat="1" applyFont="1" applyBorder="1" applyAlignment="1">
      <alignment horizontal="center" vertical="center"/>
    </xf>
    <xf numFmtId="42" fontId="32" fillId="0" borderId="52" xfId="0" applyNumberFormat="1" applyFont="1" applyBorder="1" applyAlignment="1">
      <alignment horizontal="center" vertical="center"/>
    </xf>
    <xf numFmtId="42" fontId="11" fillId="13" borderId="0" xfId="0" applyNumberFormat="1" applyFont="1" applyFill="1" applyAlignment="1">
      <alignment horizontal="center" vertical="center"/>
    </xf>
    <xf numFmtId="42" fontId="32" fillId="16" borderId="19" xfId="0" applyNumberFormat="1" applyFont="1" applyFill="1" applyBorder="1" applyAlignment="1">
      <alignment horizontal="center" vertical="center"/>
    </xf>
    <xf numFmtId="42" fontId="32" fillId="6" borderId="19" xfId="0" applyNumberFormat="1" applyFont="1" applyFill="1" applyBorder="1" applyAlignment="1">
      <alignment horizontal="center" vertical="center"/>
    </xf>
    <xf numFmtId="42" fontId="32" fillId="0" borderId="0" xfId="0" applyNumberFormat="1" applyFont="1" applyAlignment="1">
      <alignment horizontal="center" vertical="center"/>
    </xf>
    <xf numFmtId="44" fontId="0" fillId="14" borderId="31" xfId="0" applyNumberFormat="1" applyFill="1" applyBorder="1" applyAlignment="1">
      <alignment horizontal="center" vertical="center"/>
    </xf>
    <xf numFmtId="44" fontId="0" fillId="14"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4" borderId="45" xfId="0" applyNumberFormat="1" applyFill="1" applyBorder="1" applyAlignment="1">
      <alignment horizontal="center" vertical="center"/>
    </xf>
    <xf numFmtId="44" fontId="0" fillId="14"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6"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4" borderId="54" xfId="0" applyFill="1" applyBorder="1" applyAlignment="1">
      <alignment vertical="center" wrapText="1"/>
    </xf>
    <xf numFmtId="0" fontId="0" fillId="14"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4" borderId="9" xfId="0" applyFill="1" applyBorder="1" applyAlignment="1">
      <alignment horizontal="center" vertical="center"/>
    </xf>
    <xf numFmtId="0" fontId="0" fillId="14" borderId="26" xfId="0" applyFill="1" applyBorder="1" applyAlignment="1">
      <alignment horizontal="center" vertical="center"/>
    </xf>
    <xf numFmtId="1" fontId="0" fillId="14"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4" borderId="48" xfId="0" applyNumberFormat="1" applyFill="1" applyBorder="1" applyAlignment="1">
      <alignment horizontal="center" vertical="center"/>
    </xf>
    <xf numFmtId="44" fontId="0" fillId="14" borderId="48" xfId="0" quotePrefix="1" applyNumberFormat="1" applyFill="1" applyBorder="1" applyAlignment="1">
      <alignment vertical="center"/>
    </xf>
    <xf numFmtId="177" fontId="3" fillId="7" borderId="5" xfId="0" applyNumberFormat="1" applyFont="1" applyFill="1" applyBorder="1" applyAlignment="1">
      <alignment horizontal="center" vertical="center"/>
    </xf>
    <xf numFmtId="0" fontId="0" fillId="14" borderId="56" xfId="0" applyFill="1" applyBorder="1" applyAlignment="1">
      <alignment vertical="center" wrapText="1"/>
    </xf>
    <xf numFmtId="0" fontId="0" fillId="14" borderId="12"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4" borderId="8" xfId="0" applyNumberFormat="1" applyFill="1" applyBorder="1" applyAlignment="1">
      <alignment horizontal="center" vertical="center"/>
    </xf>
    <xf numFmtId="172" fontId="0" fillId="14" borderId="9" xfId="0" applyNumberFormat="1" applyFill="1" applyBorder="1" applyAlignment="1">
      <alignment horizontal="center" vertical="center"/>
    </xf>
    <xf numFmtId="172" fontId="0" fillId="14"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4"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4"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4"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6" borderId="8" xfId="0" applyFill="1" applyBorder="1" applyAlignment="1">
      <alignment vertical="center"/>
    </xf>
    <xf numFmtId="0" fontId="9" fillId="14" borderId="69" xfId="0" applyFont="1" applyFill="1" applyBorder="1" applyAlignment="1">
      <alignment horizontal="left" vertical="center" wrapText="1"/>
    </xf>
    <xf numFmtId="0" fontId="9" fillId="14" borderId="58" xfId="0" applyFont="1" applyFill="1" applyBorder="1" applyAlignment="1">
      <alignment horizontal="left" vertical="center" wrapText="1"/>
    </xf>
    <xf numFmtId="0" fontId="9" fillId="14" borderId="32" xfId="0" applyFont="1" applyFill="1" applyBorder="1" applyAlignment="1">
      <alignment horizontal="left" vertical="center" wrapText="1"/>
    </xf>
    <xf numFmtId="0" fontId="14" fillId="14" borderId="58" xfId="0" applyFont="1" applyFill="1" applyBorder="1" applyAlignment="1">
      <alignment horizontal="left" vertical="center" wrapText="1"/>
    </xf>
    <xf numFmtId="0" fontId="14" fillId="14" borderId="31" xfId="0" applyFont="1" applyFill="1" applyBorder="1" applyAlignment="1">
      <alignment horizontal="left" vertical="center" wrapText="1"/>
    </xf>
    <xf numFmtId="0" fontId="14" fillId="14" borderId="32" xfId="0"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8" fillId="0" borderId="35" xfId="0" applyFont="1" applyBorder="1" applyAlignment="1">
      <alignment horizontal="left" vertical="center"/>
    </xf>
    <xf numFmtId="0" fontId="3" fillId="20" borderId="60" xfId="0" applyFont="1" applyFill="1" applyBorder="1" applyAlignment="1">
      <alignment horizontal="right" vertical="center"/>
    </xf>
    <xf numFmtId="167" fontId="3" fillId="14" borderId="62" xfId="0" applyNumberFormat="1" applyFont="1" applyFill="1" applyBorder="1" applyAlignment="1">
      <alignment horizontal="center" vertical="center"/>
    </xf>
    <xf numFmtId="42" fontId="0" fillId="14" borderId="73" xfId="0" applyNumberFormat="1" applyFill="1" applyBorder="1" applyAlignment="1">
      <alignment horizontal="center" vertical="center"/>
    </xf>
    <xf numFmtId="42" fontId="0" fillId="14" borderId="7" xfId="0" applyNumberFormat="1" applyFill="1" applyBorder="1" applyAlignment="1">
      <alignment horizontal="center" vertical="center"/>
    </xf>
    <xf numFmtId="42" fontId="0" fillId="14"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3" xfId="0" applyNumberFormat="1" applyFont="1" applyBorder="1" applyAlignment="1">
      <alignment horizontal="center" vertical="center"/>
    </xf>
    <xf numFmtId="44" fontId="9" fillId="0" borderId="21"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2" xfId="0" applyNumberFormat="1" applyFont="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4" borderId="35"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4"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4"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4" borderId="43" xfId="0" applyNumberFormat="1" applyFont="1" applyFill="1" applyBorder="1" applyAlignment="1">
      <alignment horizontal="center" vertical="center"/>
    </xf>
    <xf numFmtId="44" fontId="9" fillId="14"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4" borderId="34" xfId="0" applyNumberFormat="1" applyFont="1" applyFill="1" applyBorder="1" applyAlignment="1">
      <alignment horizontal="center" vertical="center"/>
    </xf>
    <xf numFmtId="44" fontId="9" fillId="14" borderId="35"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4" borderId="34" xfId="0" applyNumberFormat="1" applyFont="1" applyFill="1" applyBorder="1" applyAlignment="1">
      <alignment horizontal="center" vertical="center"/>
    </xf>
    <xf numFmtId="165" fontId="9" fillId="14"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4" borderId="26"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3" fillId="3" borderId="5" xfId="0" applyFont="1" applyFill="1" applyBorder="1" applyAlignment="1">
      <alignment horizontal="right" vertical="center" wrapText="1"/>
    </xf>
    <xf numFmtId="0" fontId="59" fillId="0" borderId="42" xfId="0" quotePrefix="1" applyFont="1" applyBorder="1" applyAlignment="1">
      <alignment horizontal="center" vertical="center"/>
    </xf>
    <xf numFmtId="42" fontId="59" fillId="21" borderId="10" xfId="0" applyNumberFormat="1" applyFont="1" applyFill="1" applyBorder="1" applyAlignment="1">
      <alignment horizontal="center" vertical="center"/>
    </xf>
    <xf numFmtId="0" fontId="0" fillId="21" borderId="73" xfId="0" applyFill="1" applyBorder="1" applyAlignment="1">
      <alignment vertical="center" wrapText="1"/>
    </xf>
    <xf numFmtId="0" fontId="0" fillId="21" borderId="68" xfId="0" applyFill="1" applyBorder="1" applyAlignment="1">
      <alignment vertical="center" wrapText="1"/>
    </xf>
    <xf numFmtId="0" fontId="0" fillId="21" borderId="73" xfId="0" quotePrefix="1" applyFill="1" applyBorder="1" applyAlignment="1">
      <alignment vertical="top" wrapText="1"/>
    </xf>
    <xf numFmtId="0" fontId="0" fillId="21" borderId="68" xfId="0" quotePrefix="1" applyFill="1" applyBorder="1" applyAlignment="1">
      <alignment vertical="top" wrapText="1"/>
    </xf>
    <xf numFmtId="0" fontId="0" fillId="21" borderId="11" xfId="0" applyFill="1" applyBorder="1" applyAlignment="1">
      <alignment vertical="center" wrapText="1"/>
    </xf>
    <xf numFmtId="0" fontId="0" fillId="21" borderId="1" xfId="0" applyFill="1" applyBorder="1" applyAlignment="1">
      <alignment vertical="center" wrapText="1"/>
    </xf>
    <xf numFmtId="0" fontId="0" fillId="21" borderId="20" xfId="0" applyFill="1" applyBorder="1" applyAlignment="1">
      <alignment vertical="center" wrapText="1"/>
    </xf>
    <xf numFmtId="0" fontId="0" fillId="21" borderId="34" xfId="0" applyFill="1" applyBorder="1" applyAlignment="1">
      <alignment horizontal="left" vertical="center"/>
    </xf>
    <xf numFmtId="0" fontId="0" fillId="21" borderId="35" xfId="0" applyFill="1" applyBorder="1" applyAlignment="1">
      <alignment horizontal="left" vertical="center"/>
    </xf>
    <xf numFmtId="0" fontId="0" fillId="21" borderId="36" xfId="0" applyFill="1" applyBorder="1" applyAlignment="1">
      <alignment horizontal="left" vertical="center"/>
    </xf>
    <xf numFmtId="0" fontId="0" fillId="21" borderId="43" xfId="0" applyFill="1" applyBorder="1" applyAlignment="1">
      <alignment horizontal="left" vertical="center"/>
    </xf>
    <xf numFmtId="0" fontId="0" fillId="21" borderId="64" xfId="0" applyFill="1" applyBorder="1" applyAlignment="1">
      <alignment horizontal="lef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4" borderId="53" xfId="0" applyNumberFormat="1" applyFill="1" applyBorder="1" applyAlignment="1">
      <alignment horizontal="center" vertical="center"/>
    </xf>
    <xf numFmtId="44" fontId="0" fillId="14" borderId="54" xfId="0" applyNumberFormat="1" applyFill="1" applyBorder="1" applyAlignment="1">
      <alignment horizontal="center" vertical="center"/>
    </xf>
    <xf numFmtId="44" fontId="0" fillId="14" borderId="55" xfId="0" applyNumberFormat="1" applyFill="1" applyBorder="1" applyAlignment="1">
      <alignment horizontal="center" vertical="center"/>
    </xf>
    <xf numFmtId="44" fontId="0" fillId="16" borderId="54" xfId="0" applyNumberFormat="1" applyFill="1" applyBorder="1" applyAlignment="1">
      <alignment horizontal="center" vertical="center"/>
    </xf>
    <xf numFmtId="178" fontId="9" fillId="4" borderId="11" xfId="0" applyNumberFormat="1" applyFont="1" applyFill="1" applyBorder="1" applyAlignment="1">
      <alignment vertical="center"/>
    </xf>
    <xf numFmtId="178" fontId="9" fillId="0" borderId="1" xfId="0" applyNumberFormat="1" applyFont="1" applyBorder="1" applyAlignment="1">
      <alignment horizontal="center" vertical="center"/>
    </xf>
    <xf numFmtId="178" fontId="9" fillId="0" borderId="6" xfId="0" applyNumberFormat="1" applyFont="1" applyBorder="1" applyAlignment="1">
      <alignment horizontal="center" vertical="center"/>
    </xf>
    <xf numFmtId="178" fontId="9" fillId="4" borderId="1" xfId="0" applyNumberFormat="1" applyFont="1" applyFill="1" applyBorder="1" applyAlignment="1">
      <alignment horizontal="center" vertical="center"/>
    </xf>
    <xf numFmtId="178" fontId="9" fillId="0" borderId="20" xfId="0" applyNumberFormat="1" applyFont="1" applyBorder="1" applyAlignment="1">
      <alignment vertical="center"/>
    </xf>
    <xf numFmtId="178" fontId="9" fillId="0" borderId="1" xfId="0" applyNumberFormat="1" applyFont="1" applyBorder="1" applyAlignment="1">
      <alignment vertical="center"/>
    </xf>
    <xf numFmtId="42" fontId="9" fillId="14" borderId="23" xfId="0" applyNumberFormat="1" applyFont="1" applyFill="1" applyBorder="1" applyAlignment="1">
      <alignment vertical="center"/>
    </xf>
    <xf numFmtId="42" fontId="9" fillId="4" borderId="17" xfId="0" applyNumberFormat="1" applyFont="1" applyFill="1" applyBorder="1" applyAlignment="1">
      <alignment vertical="center"/>
    </xf>
    <xf numFmtId="178" fontId="9" fillId="4" borderId="17" xfId="0" applyNumberFormat="1" applyFont="1" applyFill="1" applyBorder="1" applyAlignment="1">
      <alignment vertical="center"/>
    </xf>
    <xf numFmtId="42" fontId="9" fillId="14"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1"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2" fillId="16"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3" borderId="0" xfId="0" applyNumberFormat="1" applyFont="1" applyFill="1" applyAlignment="1">
      <alignment horizontal="center" vertical="center"/>
    </xf>
    <xf numFmtId="42" fontId="3" fillId="14" borderId="15" xfId="0" applyNumberFormat="1" applyFont="1" applyFill="1" applyBorder="1" applyAlignment="1">
      <alignment horizontal="left" vertical="center"/>
    </xf>
    <xf numFmtId="42" fontId="11" fillId="14" borderId="15" xfId="0" applyNumberFormat="1" applyFont="1" applyFill="1" applyBorder="1" applyAlignment="1">
      <alignment horizontal="center" vertical="center"/>
    </xf>
    <xf numFmtId="42" fontId="32" fillId="0" borderId="22" xfId="0" applyNumberFormat="1" applyFont="1" applyBorder="1" applyAlignment="1">
      <alignment horizontal="center" vertical="center"/>
    </xf>
    <xf numFmtId="42" fontId="32" fillId="0" borderId="23" xfId="0" applyNumberFormat="1" applyFont="1" applyBorder="1" applyAlignment="1">
      <alignment horizontal="center" vertical="center"/>
    </xf>
    <xf numFmtId="42" fontId="32" fillId="16" borderId="26" xfId="0" applyNumberFormat="1" applyFont="1" applyFill="1" applyBorder="1" applyAlignment="1">
      <alignment horizontal="center" vertical="center"/>
    </xf>
    <xf numFmtId="0" fontId="0" fillId="14" borderId="20" xfId="0" applyFill="1" applyBorder="1" applyAlignment="1">
      <alignment horizontal="left" vertical="center"/>
    </xf>
    <xf numFmtId="0" fontId="3" fillId="14" borderId="46" xfId="0" applyFont="1" applyFill="1" applyBorder="1" applyAlignment="1">
      <alignment horizontal="center" vertical="center"/>
    </xf>
    <xf numFmtId="0" fontId="3" fillId="14" borderId="47" xfId="0"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4" borderId="8" xfId="0" applyNumberFormat="1" applyFont="1" applyFill="1" applyBorder="1" applyAlignment="1">
      <alignment horizontal="left" vertical="center"/>
    </xf>
    <xf numFmtId="42" fontId="3" fillId="14"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7" borderId="19" xfId="0" applyFill="1" applyBorder="1" applyAlignment="1">
      <alignment horizontal="right" vertical="center"/>
    </xf>
    <xf numFmtId="0" fontId="0" fillId="17" borderId="48" xfId="0" applyFill="1" applyBorder="1" applyAlignment="1">
      <alignment vertical="center"/>
    </xf>
    <xf numFmtId="0" fontId="0" fillId="17"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1" fillId="13" borderId="3" xfId="0" applyNumberFormat="1" applyFont="1" applyFill="1" applyBorder="1" applyAlignment="1">
      <alignment horizontal="center" vertical="center"/>
    </xf>
    <xf numFmtId="42" fontId="31" fillId="13" borderId="19" xfId="0" applyNumberFormat="1" applyFont="1" applyFill="1" applyBorder="1" applyAlignment="1">
      <alignment horizontal="center" vertical="center"/>
    </xf>
    <xf numFmtId="0" fontId="60" fillId="0" borderId="9" xfId="0" applyFont="1" applyBorder="1" applyAlignment="1">
      <alignment horizontal="left" vertical="center" wrapText="1"/>
    </xf>
    <xf numFmtId="0" fontId="0" fillId="0" borderId="12" xfId="0" applyBorder="1" applyAlignment="1">
      <alignment vertical="center" wrapText="1"/>
    </xf>
    <xf numFmtId="42" fontId="3" fillId="14"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4" borderId="3" xfId="0" applyNumberFormat="1" applyFont="1" applyFill="1" applyBorder="1" applyAlignment="1">
      <alignment vertical="center"/>
    </xf>
    <xf numFmtId="42" fontId="3" fillId="14" borderId="31" xfId="0" applyNumberFormat="1" applyFont="1" applyFill="1" applyBorder="1" applyAlignment="1">
      <alignment horizontal="center" vertical="center"/>
    </xf>
    <xf numFmtId="42" fontId="3" fillId="14" borderId="30" xfId="0" applyNumberFormat="1" applyFont="1" applyFill="1" applyBorder="1" applyAlignment="1">
      <alignment horizontal="center" vertical="center"/>
    </xf>
    <xf numFmtId="42" fontId="3" fillId="14"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42" fontId="3" fillId="13"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4"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4" borderId="9" xfId="0" applyNumberFormat="1" applyFont="1" applyFill="1" applyBorder="1" applyAlignment="1">
      <alignment vertical="center"/>
    </xf>
    <xf numFmtId="0" fontId="33" fillId="7" borderId="4" xfId="0" applyFont="1" applyFill="1" applyBorder="1" applyAlignment="1">
      <alignment horizontal="right" vertical="center"/>
    </xf>
    <xf numFmtId="42" fontId="11" fillId="14" borderId="72" xfId="0" applyNumberFormat="1" applyFont="1" applyFill="1" applyBorder="1" applyAlignment="1">
      <alignment horizontal="center" vertical="center"/>
    </xf>
    <xf numFmtId="42" fontId="11" fillId="16" borderId="46" xfId="0" applyNumberFormat="1" applyFont="1" applyFill="1" applyBorder="1" applyAlignment="1">
      <alignment horizontal="center" vertical="center"/>
    </xf>
    <xf numFmtId="42" fontId="59" fillId="21" borderId="9" xfId="0" applyNumberFormat="1" applyFont="1" applyFill="1" applyBorder="1" applyAlignment="1">
      <alignment horizontal="center" vertical="center"/>
    </xf>
    <xf numFmtId="42" fontId="11" fillId="14" borderId="10"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wrapText="1"/>
    </xf>
    <xf numFmtId="42" fontId="40" fillId="14" borderId="15" xfId="0" applyNumberFormat="1" applyFont="1" applyFill="1" applyBorder="1" applyAlignment="1">
      <alignment horizontal="center" vertical="center"/>
    </xf>
    <xf numFmtId="42" fontId="42" fillId="14" borderId="9" xfId="0" applyNumberFormat="1" applyFont="1" applyFill="1" applyBorder="1" applyAlignment="1">
      <alignment horizontal="center" vertical="center" wrapText="1"/>
    </xf>
    <xf numFmtId="42" fontId="11" fillId="14" borderId="26" xfId="0" applyNumberFormat="1" applyFont="1" applyFill="1" applyBorder="1" applyAlignment="1">
      <alignment horizontal="center" vertical="center" wrapText="1"/>
    </xf>
    <xf numFmtId="42" fontId="3" fillId="14" borderId="58" xfId="0" applyNumberFormat="1" applyFont="1" applyFill="1" applyBorder="1" applyAlignment="1">
      <alignment horizontal="center" vertical="center"/>
    </xf>
    <xf numFmtId="42" fontId="3" fillId="13" borderId="23" xfId="0" applyNumberFormat="1" applyFont="1" applyFill="1" applyBorder="1" applyAlignment="1">
      <alignment horizontal="center" vertical="center"/>
    </xf>
    <xf numFmtId="42" fontId="10" fillId="16" borderId="46" xfId="0" applyNumberFormat="1" applyFont="1" applyFill="1" applyBorder="1" applyAlignment="1">
      <alignment horizontal="center" vertical="center"/>
    </xf>
    <xf numFmtId="42" fontId="10" fillId="16" borderId="9" xfId="0" applyNumberFormat="1" applyFont="1" applyFill="1" applyBorder="1" applyAlignment="1">
      <alignment horizontal="center" vertical="center"/>
    </xf>
    <xf numFmtId="42" fontId="59"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6"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6" borderId="14" xfId="0" applyNumberFormat="1" applyFont="1" applyFill="1" applyBorder="1" applyAlignment="1">
      <alignment horizontal="center" vertical="center"/>
    </xf>
    <xf numFmtId="0" fontId="40" fillId="13"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1" borderId="27" xfId="0" applyNumberFormat="1" applyFont="1" applyFill="1" applyBorder="1" applyAlignment="1">
      <alignment horizontal="center" vertical="center"/>
    </xf>
    <xf numFmtId="42" fontId="3" fillId="21" borderId="0" xfId="0" applyNumberFormat="1" applyFont="1" applyFill="1" applyAlignment="1">
      <alignment horizontal="center" vertical="center"/>
    </xf>
    <xf numFmtId="0" fontId="3" fillId="0" borderId="79" xfId="0" applyFont="1" applyBorder="1" applyAlignment="1">
      <alignment horizontal="center" vertical="center"/>
    </xf>
    <xf numFmtId="44" fontId="0" fillId="14" borderId="49" xfId="0" applyNumberFormat="1" applyFill="1" applyBorder="1" applyAlignment="1">
      <alignment vertical="center"/>
    </xf>
    <xf numFmtId="44" fontId="0" fillId="14" borderId="14" xfId="0" applyNumberFormat="1" applyFill="1" applyBorder="1" applyAlignment="1">
      <alignment vertical="center"/>
    </xf>
    <xf numFmtId="44" fontId="0" fillId="14" borderId="3" xfId="0" applyNumberFormat="1" applyFill="1" applyBorder="1" applyAlignment="1">
      <alignment vertical="center"/>
    </xf>
    <xf numFmtId="44" fontId="3" fillId="12" borderId="55" xfId="0" applyNumberFormat="1" applyFont="1" applyFill="1" applyBorder="1" applyAlignment="1">
      <alignment vertical="center"/>
    </xf>
    <xf numFmtId="44" fontId="3" fillId="14" borderId="44" xfId="0" applyNumberFormat="1" applyFont="1" applyFill="1" applyBorder="1" applyAlignment="1">
      <alignment vertical="center"/>
    </xf>
    <xf numFmtId="44" fontId="0" fillId="14" borderId="10" xfId="0" applyNumberFormat="1" applyFill="1" applyBorder="1" applyAlignment="1">
      <alignment vertical="center"/>
    </xf>
    <xf numFmtId="44" fontId="0" fillId="14" borderId="23" xfId="0" applyNumberFormat="1" applyFill="1" applyBorder="1" applyAlignment="1">
      <alignment horizontal="center" vertical="center"/>
    </xf>
    <xf numFmtId="44" fontId="3" fillId="14"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6" borderId="0" xfId="0" applyNumberFormat="1" applyFont="1" applyFill="1" applyAlignment="1">
      <alignment horizontal="center" vertical="center"/>
    </xf>
    <xf numFmtId="44" fontId="3" fillId="3" borderId="8" xfId="0" applyNumberFormat="1" applyFont="1" applyFill="1" applyBorder="1" applyAlignment="1">
      <alignment vertical="center"/>
    </xf>
    <xf numFmtId="169" fontId="3" fillId="14" borderId="32" xfId="0" applyNumberFormat="1" applyFont="1" applyFill="1" applyBorder="1" applyAlignment="1">
      <alignment horizontal="center" vertical="center"/>
    </xf>
    <xf numFmtId="42" fontId="32" fillId="16" borderId="45" xfId="0" applyNumberFormat="1" applyFont="1" applyFill="1" applyBorder="1" applyAlignment="1">
      <alignment horizontal="center" vertical="center"/>
    </xf>
    <xf numFmtId="0" fontId="0" fillId="0" borderId="3" xfId="0"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3"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4" borderId="15" xfId="1" applyNumberFormat="1" applyFont="1" applyFill="1" applyBorder="1" applyAlignment="1">
      <alignment horizontal="center" vertical="top"/>
    </xf>
    <xf numFmtId="42" fontId="11" fillId="14"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4" borderId="28" xfId="0" applyNumberFormat="1" applyFont="1" applyFill="1" applyBorder="1" applyAlignment="1">
      <alignment horizontal="center"/>
    </xf>
    <xf numFmtId="0" fontId="3" fillId="13" borderId="23" xfId="0" applyFont="1" applyFill="1" applyBorder="1" applyAlignment="1">
      <alignment horizontal="center"/>
    </xf>
    <xf numFmtId="0" fontId="3" fillId="13" borderId="24" xfId="0" applyFont="1" applyFill="1" applyBorder="1" applyAlignment="1">
      <alignment horizontal="center"/>
    </xf>
    <xf numFmtId="164" fontId="0" fillId="0" borderId="0" xfId="0" applyNumberFormat="1"/>
    <xf numFmtId="0" fontId="0" fillId="14" borderId="73" xfId="0" applyFill="1" applyBorder="1"/>
    <xf numFmtId="0" fontId="3" fillId="0" borderId="21" xfId="0" quotePrefix="1" applyFont="1" applyBorder="1" applyAlignment="1">
      <alignment horizontal="center" vertical="center"/>
    </xf>
    <xf numFmtId="0" fontId="0" fillId="14" borderId="45" xfId="0" applyFill="1" applyBorder="1" applyAlignment="1">
      <alignment horizontal="left"/>
    </xf>
    <xf numFmtId="0" fontId="0" fillId="14" borderId="46" xfId="0" applyFill="1" applyBorder="1" applyAlignment="1">
      <alignment horizontal="left"/>
    </xf>
    <xf numFmtId="0" fontId="0" fillId="0" borderId="46" xfId="0" applyBorder="1" applyAlignment="1">
      <alignment horizontal="left"/>
    </xf>
    <xf numFmtId="0" fontId="0" fillId="14" borderId="47" xfId="0" applyFill="1" applyBorder="1" applyAlignment="1">
      <alignment horizontal="left"/>
    </xf>
    <xf numFmtId="0" fontId="3" fillId="13" borderId="22" xfId="0" applyFont="1" applyFill="1" applyBorder="1" applyAlignment="1">
      <alignment horizontal="right"/>
    </xf>
    <xf numFmtId="0" fontId="0" fillId="14" borderId="45" xfId="0" applyFill="1" applyBorder="1"/>
    <xf numFmtId="0" fontId="3" fillId="13" borderId="52" xfId="0" applyFont="1" applyFill="1" applyBorder="1" applyAlignment="1">
      <alignment horizontal="right"/>
    </xf>
    <xf numFmtId="0" fontId="0" fillId="14" borderId="7" xfId="0" applyFill="1" applyBorder="1" applyAlignment="1">
      <alignment horizontal="left"/>
    </xf>
    <xf numFmtId="0" fontId="0" fillId="14" borderId="75" xfId="0" applyFill="1" applyBorder="1" applyAlignment="1">
      <alignment horizontal="left"/>
    </xf>
    <xf numFmtId="0" fontId="3" fillId="13" borderId="19" xfId="0" applyFont="1" applyFill="1" applyBorder="1" applyAlignment="1">
      <alignment horizontal="right"/>
    </xf>
    <xf numFmtId="0" fontId="0" fillId="14" borderId="8" xfId="0" applyFill="1" applyBorder="1" applyAlignment="1">
      <alignment horizontal="center"/>
    </xf>
    <xf numFmtId="0" fontId="0" fillId="0" borderId="14" xfId="0" applyBorder="1" applyAlignment="1">
      <alignment horizontal="center"/>
    </xf>
    <xf numFmtId="42" fontId="0" fillId="14" borderId="65" xfId="0" applyNumberFormat="1" applyFill="1" applyBorder="1" applyAlignment="1">
      <alignment horizontal="center"/>
    </xf>
    <xf numFmtId="42" fontId="0" fillId="14" borderId="18" xfId="0" applyNumberFormat="1" applyFill="1" applyBorder="1" applyAlignment="1">
      <alignment horizontal="center"/>
    </xf>
    <xf numFmtId="42" fontId="0" fillId="7" borderId="5" xfId="0" applyNumberFormat="1" applyFill="1" applyBorder="1" applyAlignment="1">
      <alignment horizontal="center"/>
    </xf>
    <xf numFmtId="42" fontId="9" fillId="14"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4" borderId="21" xfId="0" applyNumberFormat="1" applyFill="1" applyBorder="1" applyAlignment="1">
      <alignment horizontal="center"/>
    </xf>
    <xf numFmtId="0" fontId="0" fillId="3" borderId="51" xfId="0" applyFill="1" applyBorder="1" applyAlignment="1">
      <alignment horizontal="center"/>
    </xf>
    <xf numFmtId="0" fontId="0" fillId="14" borderId="76" xfId="0" applyFill="1" applyBorder="1"/>
    <xf numFmtId="42" fontId="3" fillId="13"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3" borderId="61" xfId="0" applyFont="1" applyFill="1" applyBorder="1" applyAlignment="1">
      <alignment horizontal="right"/>
    </xf>
    <xf numFmtId="42" fontId="3" fillId="14" borderId="8" xfId="0" applyNumberFormat="1" applyFont="1" applyFill="1" applyBorder="1" applyAlignment="1">
      <alignment vertical="center"/>
    </xf>
    <xf numFmtId="0" fontId="3" fillId="0" borderId="9" xfId="0" applyFont="1" applyBorder="1" applyAlignment="1">
      <alignment horizontal="right"/>
    </xf>
    <xf numFmtId="42" fontId="0" fillId="14" borderId="46" xfId="0" applyNumberFormat="1" applyFill="1" applyBorder="1" applyAlignment="1">
      <alignment horizontal="center"/>
    </xf>
    <xf numFmtId="0" fontId="3" fillId="21" borderId="8" xfId="0" applyFont="1" applyFill="1" applyBorder="1" applyAlignment="1">
      <alignment horizontal="right"/>
    </xf>
    <xf numFmtId="0" fontId="3" fillId="3" borderId="48" xfId="0" applyFont="1" applyFill="1" applyBorder="1" applyAlignment="1">
      <alignment horizontal="right"/>
    </xf>
    <xf numFmtId="0" fontId="0" fillId="0" borderId="56" xfId="0" applyBorder="1" applyAlignment="1">
      <alignment horizontal="center"/>
    </xf>
    <xf numFmtId="42" fontId="0" fillId="14" borderId="45" xfId="0" applyNumberFormat="1" applyFill="1" applyBorder="1" applyAlignment="1">
      <alignment horizontal="center"/>
    </xf>
    <xf numFmtId="0" fontId="3" fillId="0" borderId="26" xfId="0" applyFont="1" applyBorder="1" applyAlignment="1">
      <alignment horizontal="right"/>
    </xf>
    <xf numFmtId="42" fontId="0" fillId="14" borderId="47" xfId="0" applyNumberFormat="1" applyFill="1" applyBorder="1" applyAlignment="1">
      <alignment horizontal="center"/>
    </xf>
    <xf numFmtId="0" fontId="0" fillId="0" borderId="26" xfId="0" applyBorder="1" applyAlignment="1">
      <alignment horizontal="left"/>
    </xf>
    <xf numFmtId="42" fontId="0" fillId="14" borderId="31" xfId="0" applyNumberFormat="1" applyFill="1" applyBorder="1" applyAlignment="1">
      <alignment horizontal="center"/>
    </xf>
    <xf numFmtId="42" fontId="0" fillId="14"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4" borderId="46" xfId="0" applyNumberFormat="1" applyFill="1" applyBorder="1"/>
    <xf numFmtId="0" fontId="0" fillId="0" borderId="24" xfId="0" applyBorder="1" applyAlignment="1">
      <alignment horizontal="center"/>
    </xf>
    <xf numFmtId="42" fontId="3" fillId="14" borderId="9" xfId="0" applyNumberFormat="1" applyFont="1" applyFill="1" applyBorder="1" applyAlignment="1">
      <alignment horizontal="center"/>
    </xf>
    <xf numFmtId="42" fontId="0" fillId="14" borderId="56" xfId="0" applyNumberFormat="1" applyFill="1" applyBorder="1" applyAlignment="1">
      <alignment horizontal="center" vertical="center"/>
    </xf>
    <xf numFmtId="42" fontId="0" fillId="14"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4" borderId="24"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9" fillId="14"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3"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13"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59" fillId="4" borderId="75" xfId="0" applyFont="1" applyFill="1" applyBorder="1" applyAlignment="1">
      <alignment horizontal="center" vertical="center"/>
    </xf>
    <xf numFmtId="0" fontId="2" fillId="13"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3"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3"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79" fontId="3" fillId="12" borderId="10" xfId="0" applyNumberFormat="1" applyFont="1" applyFill="1" applyBorder="1" applyAlignment="1">
      <alignment horizontal="center" vertical="center"/>
    </xf>
    <xf numFmtId="0" fontId="0" fillId="0" borderId="36" xfId="0" applyBorder="1" applyAlignment="1">
      <alignment vertical="center" wrapText="1"/>
    </xf>
    <xf numFmtId="42" fontId="3" fillId="2" borderId="36" xfId="0" applyNumberFormat="1" applyFont="1" applyFill="1" applyBorder="1" applyAlignment="1">
      <alignment horizontal="center"/>
    </xf>
    <xf numFmtId="178" fontId="9" fillId="14" borderId="11" xfId="0" applyNumberFormat="1" applyFont="1" applyFill="1" applyBorder="1" applyAlignment="1">
      <alignment horizontal="center" vertical="center"/>
    </xf>
    <xf numFmtId="178" fontId="9" fillId="14" borderId="1" xfId="0" applyNumberFormat="1" applyFont="1" applyFill="1" applyBorder="1" applyAlignment="1">
      <alignment horizontal="center" vertical="center"/>
    </xf>
    <xf numFmtId="178" fontId="9" fillId="14" borderId="20" xfId="0" applyNumberFormat="1" applyFont="1" applyFill="1" applyBorder="1" applyAlignment="1">
      <alignment horizontal="center" vertical="center"/>
    </xf>
    <xf numFmtId="10" fontId="0" fillId="21" borderId="38" xfId="0" applyNumberFormat="1" applyFill="1" applyBorder="1" applyAlignment="1">
      <alignment horizontal="center" vertical="center"/>
    </xf>
    <xf numFmtId="10" fontId="0" fillId="21" borderId="37" xfId="0" applyNumberFormat="1" applyFill="1" applyBorder="1" applyAlignment="1">
      <alignment horizontal="center" vertical="center"/>
    </xf>
    <xf numFmtId="10" fontId="0" fillId="21" borderId="39" xfId="0" applyNumberFormat="1" applyFill="1" applyBorder="1" applyAlignment="1">
      <alignment horizontal="center" vertical="center"/>
    </xf>
    <xf numFmtId="42" fontId="0" fillId="14"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6" borderId="47" xfId="0" applyNumberFormat="1" applyFont="1" applyFill="1" applyBorder="1" applyAlignment="1">
      <alignment horizontal="center" vertical="center"/>
    </xf>
    <xf numFmtId="42" fontId="10" fillId="16"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4"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2"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2" fillId="0" borderId="38" xfId="0" applyNumberFormat="1" applyFont="1" applyBorder="1" applyAlignment="1">
      <alignment horizontal="left" vertical="center"/>
    </xf>
    <xf numFmtId="44" fontId="82"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4" borderId="33" xfId="0" applyNumberFormat="1" applyFont="1" applyFill="1" applyBorder="1" applyAlignment="1">
      <alignment horizontal="center" vertical="center"/>
    </xf>
    <xf numFmtId="44" fontId="9" fillId="14" borderId="31" xfId="0" applyNumberFormat="1" applyFont="1" applyFill="1" applyBorder="1" applyAlignment="1">
      <alignment horizontal="center" vertical="center"/>
    </xf>
    <xf numFmtId="44" fontId="9" fillId="14" borderId="29" xfId="0" applyNumberFormat="1" applyFont="1" applyFill="1" applyBorder="1" applyAlignment="1">
      <alignment horizontal="center" vertical="center"/>
    </xf>
    <xf numFmtId="42" fontId="0" fillId="14"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29" fillId="3" borderId="5" xfId="0" applyNumberFormat="1" applyFont="1" applyFill="1" applyBorder="1" applyAlignment="1">
      <alignment horizontal="center"/>
    </xf>
    <xf numFmtId="42" fontId="0" fillId="14" borderId="73" xfId="0" applyNumberFormat="1" applyFill="1" applyBorder="1" applyAlignment="1">
      <alignment horizontal="center"/>
    </xf>
    <xf numFmtId="42" fontId="0" fillId="14"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4"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4" borderId="16" xfId="0" applyNumberFormat="1" applyFill="1" applyBorder="1" applyAlignment="1">
      <alignment horizontal="center"/>
    </xf>
    <xf numFmtId="42" fontId="0" fillId="14" borderId="68" xfId="0" applyNumberFormat="1" applyFill="1" applyBorder="1" applyAlignment="1">
      <alignment horizontal="center"/>
    </xf>
    <xf numFmtId="42" fontId="0" fillId="14" borderId="33" xfId="0" applyNumberFormat="1" applyFill="1" applyBorder="1" applyAlignment="1">
      <alignment horizontal="center"/>
    </xf>
    <xf numFmtId="42" fontId="0" fillId="14" borderId="34" xfId="0" applyNumberFormat="1" applyFill="1" applyBorder="1" applyAlignment="1">
      <alignment horizontal="center"/>
    </xf>
    <xf numFmtId="42" fontId="0" fillId="14"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4"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4"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4" borderId="43" xfId="0" applyNumberFormat="1" applyFill="1" applyBorder="1" applyAlignment="1">
      <alignment horizontal="center"/>
    </xf>
    <xf numFmtId="42" fontId="0" fillId="14" borderId="35" xfId="0" applyNumberFormat="1" applyFill="1" applyBorder="1" applyAlignment="1">
      <alignment horizontal="center"/>
    </xf>
    <xf numFmtId="0" fontId="3" fillId="2" borderId="28" xfId="0" applyFont="1" applyFill="1" applyBorder="1" applyAlignment="1">
      <alignment horizontal="center" vertical="center"/>
    </xf>
    <xf numFmtId="1" fontId="0" fillId="14"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4" borderId="24" xfId="0" applyNumberFormat="1" applyFill="1" applyBorder="1" applyAlignment="1">
      <alignment horizontal="center" vertical="center"/>
    </xf>
    <xf numFmtId="0" fontId="0" fillId="14"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14" fontId="3" fillId="14" borderId="8" xfId="0" applyNumberFormat="1" applyFont="1" applyFill="1" applyBorder="1" applyAlignment="1">
      <alignment horizontal="center" vertical="center"/>
    </xf>
    <xf numFmtId="14" fontId="3" fillId="14" borderId="9" xfId="0" applyNumberFormat="1" applyFont="1" applyFill="1" applyBorder="1" applyAlignment="1">
      <alignment horizontal="center" vertical="center"/>
    </xf>
    <xf numFmtId="14" fontId="3" fillId="14" borderId="26" xfId="0" applyNumberFormat="1" applyFont="1" applyFill="1" applyBorder="1" applyAlignment="1">
      <alignment horizontal="center" vertical="center"/>
    </xf>
    <xf numFmtId="0" fontId="0" fillId="14" borderId="69" xfId="0" applyFill="1" applyBorder="1" applyAlignment="1">
      <alignment horizontal="center"/>
    </xf>
    <xf numFmtId="0" fontId="0" fillId="14" borderId="58" xfId="0" applyFill="1" applyBorder="1" applyAlignment="1">
      <alignment horizontal="center"/>
    </xf>
    <xf numFmtId="0" fontId="0" fillId="14" borderId="32" xfId="0" applyFill="1" applyBorder="1" applyAlignment="1">
      <alignment horizontal="center"/>
    </xf>
    <xf numFmtId="6" fontId="46"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5" fillId="19"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5" borderId="61" xfId="0" applyFont="1" applyFill="1" applyBorder="1" applyAlignment="1">
      <alignment vertical="center" wrapText="1"/>
    </xf>
    <xf numFmtId="0" fontId="3" fillId="15" borderId="77" xfId="0" applyFont="1" applyFill="1" applyBorder="1" applyAlignment="1">
      <alignment horizontal="center" vertical="center"/>
    </xf>
    <xf numFmtId="0" fontId="3" fillId="15"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6" borderId="76" xfId="0" applyNumberFormat="1" applyFill="1" applyBorder="1" applyAlignment="1">
      <alignment horizontal="center"/>
    </xf>
    <xf numFmtId="0" fontId="0" fillId="14" borderId="33" xfId="0" quotePrefix="1" applyFill="1" applyBorder="1" applyAlignment="1">
      <alignment horizontal="center"/>
    </xf>
    <xf numFmtId="42" fontId="3" fillId="13"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0" fillId="14" borderId="45" xfId="0" applyFill="1" applyBorder="1" applyAlignment="1">
      <alignment horizontal="right"/>
    </xf>
    <xf numFmtId="0" fontId="0" fillId="14"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1" borderId="60" xfId="0" applyFont="1" applyFill="1" applyBorder="1" applyAlignment="1">
      <alignment horizontal="center"/>
    </xf>
    <xf numFmtId="0" fontId="9" fillId="21" borderId="61" xfId="0" applyFont="1" applyFill="1" applyBorder="1" applyAlignment="1">
      <alignment wrapText="1"/>
    </xf>
    <xf numFmtId="0" fontId="9" fillId="21" borderId="62" xfId="0" applyFont="1" applyFill="1" applyBorder="1"/>
    <xf numFmtId="0" fontId="0" fillId="21" borderId="4" xfId="0" applyFill="1" applyBorder="1" applyAlignment="1">
      <alignment vertical="center" wrapText="1"/>
    </xf>
    <xf numFmtId="0" fontId="0" fillId="21" borderId="5" xfId="0" applyFill="1" applyBorder="1" applyAlignment="1">
      <alignment vertical="top" wrapText="1"/>
    </xf>
    <xf numFmtId="44" fontId="0" fillId="14" borderId="71" xfId="0" applyNumberFormat="1" applyFill="1" applyBorder="1" applyAlignment="1">
      <alignment horizontal="center" vertical="center"/>
    </xf>
    <xf numFmtId="44" fontId="60"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42" fontId="0" fillId="0" borderId="0" xfId="0" applyNumberFormat="1" applyAlignment="1">
      <alignment horizontal="left"/>
    </xf>
    <xf numFmtId="0" fontId="3" fillId="0" borderId="18" xfId="0" quotePrefix="1" applyFont="1" applyBorder="1" applyAlignment="1">
      <alignment horizontal="center" vertical="center"/>
    </xf>
    <xf numFmtId="42" fontId="32" fillId="16" borderId="47"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44" fontId="0" fillId="0" borderId="8" xfId="0" applyNumberFormat="1" applyBorder="1" applyAlignment="1">
      <alignment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4"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4" borderId="22" xfId="0" applyNumberFormat="1" applyFont="1" applyFill="1" applyBorder="1" applyAlignment="1">
      <alignment horizontal="center" vertical="center"/>
    </xf>
    <xf numFmtId="42" fontId="3" fillId="14"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4"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4"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4"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1" borderId="6" xfId="0" applyFill="1" applyBorder="1" applyAlignment="1">
      <alignment vertical="center" wrapText="1"/>
    </xf>
    <xf numFmtId="0" fontId="0" fillId="21"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5"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3" borderId="22" xfId="0" applyFont="1" applyFill="1" applyBorder="1" applyAlignment="1">
      <alignment horizontal="center" vertical="center" wrapText="1"/>
    </xf>
    <xf numFmtId="0" fontId="0" fillId="0" borderId="1" xfId="0" applyBorder="1" applyAlignment="1">
      <alignment vertical="center"/>
    </xf>
    <xf numFmtId="42" fontId="32" fillId="16" borderId="9" xfId="0" applyNumberFormat="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4" borderId="24" xfId="0" applyNumberFormat="1" applyFont="1" applyFill="1" applyBorder="1" applyAlignment="1">
      <alignment horizontal="center" vertical="center"/>
    </xf>
    <xf numFmtId="0" fontId="37" fillId="2" borderId="19"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3" borderId="19"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3" borderId="19" xfId="0" applyFill="1" applyBorder="1" applyAlignment="1">
      <alignment horizontal="left" vertical="center" wrapText="1"/>
    </xf>
    <xf numFmtId="0" fontId="9" fillId="0" borderId="52" xfId="0" applyFont="1" applyBorder="1" applyAlignment="1">
      <alignment horizontal="left" vertical="center" wrapText="1"/>
    </xf>
    <xf numFmtId="0" fontId="60" fillId="0" borderId="45" xfId="0" quotePrefix="1" applyFont="1" applyBorder="1" applyAlignment="1">
      <alignment horizontal="left" vertical="center" wrapText="1"/>
    </xf>
    <xf numFmtId="0" fontId="60" fillId="0" borderId="47" xfId="0" quotePrefix="1" applyFont="1" applyBorder="1" applyAlignment="1">
      <alignment horizontal="left" vertical="center" wrapText="1"/>
    </xf>
    <xf numFmtId="0" fontId="11" fillId="0" borderId="0" xfId="0" applyFont="1" applyAlignment="1">
      <alignment horizontal="left" vertical="center" wrapText="1"/>
    </xf>
    <xf numFmtId="0" fontId="60" fillId="0" borderId="46" xfId="0" quotePrefix="1" applyFont="1" applyBorder="1" applyAlignment="1">
      <alignment horizontal="left" vertical="center" wrapText="1"/>
    </xf>
    <xf numFmtId="0" fontId="11" fillId="13"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60"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3"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3"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11" fillId="0" borderId="53" xfId="0" applyFont="1" applyBorder="1" applyAlignment="1">
      <alignment horizontal="center" vertical="center" wrapText="1"/>
    </xf>
    <xf numFmtId="0" fontId="60" fillId="0" borderId="54" xfId="0" applyFont="1" applyBorder="1" applyAlignment="1">
      <alignment horizontal="left" vertical="center" wrapText="1"/>
    </xf>
    <xf numFmtId="0" fontId="11" fillId="15"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3"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47" xfId="0" applyFont="1" applyBorder="1" applyAlignment="1">
      <alignment horizontal="left" vertical="center" wrapText="1"/>
    </xf>
    <xf numFmtId="0" fontId="9" fillId="19"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3"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1"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3" borderId="78" xfId="0" applyFont="1" applyFill="1" applyBorder="1" applyAlignment="1">
      <alignment horizontal="center" vertical="center"/>
    </xf>
    <xf numFmtId="42" fontId="3" fillId="13"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59" fillId="0" borderId="34" xfId="0" applyFont="1" applyBorder="1" applyAlignment="1">
      <alignment horizontal="center" vertical="center"/>
    </xf>
    <xf numFmtId="0" fontId="3" fillId="13" borderId="66" xfId="0" applyFont="1" applyFill="1" applyBorder="1" applyAlignment="1">
      <alignment horizontal="center" vertical="center"/>
    </xf>
    <xf numFmtId="42" fontId="11" fillId="13" borderId="23" xfId="0" applyNumberFormat="1" applyFont="1" applyFill="1" applyBorder="1" applyAlignment="1">
      <alignment horizontal="center" vertical="center"/>
    </xf>
    <xf numFmtId="0" fontId="59"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4" borderId="55" xfId="0" applyNumberFormat="1" applyFont="1" applyFill="1" applyBorder="1" applyAlignment="1">
      <alignment horizontal="center" vertical="center"/>
    </xf>
    <xf numFmtId="0" fontId="60"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6"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3" borderId="49" xfId="0" applyNumberFormat="1" applyFont="1" applyFill="1" applyBorder="1" applyAlignment="1">
      <alignment horizontal="center" vertical="center"/>
    </xf>
    <xf numFmtId="42" fontId="3" fillId="13" borderId="50" xfId="0" applyNumberFormat="1" applyFont="1" applyFill="1" applyBorder="1" applyAlignment="1">
      <alignment horizontal="center" vertical="center"/>
    </xf>
    <xf numFmtId="0" fontId="9" fillId="13" borderId="22" xfId="0" applyFont="1" applyFill="1" applyBorder="1" applyAlignment="1">
      <alignment horizontal="left" vertical="center" wrapText="1"/>
    </xf>
    <xf numFmtId="42" fontId="3" fillId="14" borderId="57" xfId="0" applyNumberFormat="1" applyFont="1" applyFill="1" applyBorder="1" applyAlignment="1">
      <alignment horizontal="center" vertical="center"/>
    </xf>
    <xf numFmtId="0" fontId="3" fillId="13" borderId="60" xfId="0"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3" borderId="61" xfId="0" applyFont="1" applyFill="1" applyBorder="1" applyAlignment="1">
      <alignment horizontal="right" vertical="center" wrapText="1"/>
    </xf>
    <xf numFmtId="42" fontId="11" fillId="13" borderId="22" xfId="0" applyNumberFormat="1" applyFont="1" applyFill="1" applyBorder="1" applyAlignment="1">
      <alignment horizontal="center" vertical="center"/>
    </xf>
    <xf numFmtId="0" fontId="11" fillId="13" borderId="22" xfId="0" applyFont="1" applyFill="1" applyBorder="1" applyAlignment="1">
      <alignment horizontal="center" vertical="center" wrapText="1"/>
    </xf>
    <xf numFmtId="0" fontId="9" fillId="14"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0" fillId="0" borderId="19" xfId="0" applyBorder="1" applyAlignment="1">
      <alignment horizontal="right" vertical="center" wrapText="1"/>
    </xf>
    <xf numFmtId="164" fontId="3" fillId="13"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2" fillId="16"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4" borderId="71" xfId="0" applyNumberFormat="1" applyFont="1" applyFill="1" applyBorder="1" applyAlignment="1">
      <alignment horizontal="center" vertical="center"/>
    </xf>
    <xf numFmtId="0" fontId="3" fillId="13"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3"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9" fillId="6" borderId="3" xfId="0"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59" fillId="13" borderId="77" xfId="0" applyFont="1" applyFill="1" applyBorder="1" applyAlignment="1">
      <alignment horizontal="center" vertical="center"/>
    </xf>
    <xf numFmtId="0" fontId="80" fillId="13" borderId="61" xfId="0" applyFont="1" applyFill="1" applyBorder="1" applyAlignment="1">
      <alignment horizontal="right" vertical="center" wrapText="1"/>
    </xf>
    <xf numFmtId="0" fontId="81" fillId="11" borderId="66" xfId="0" applyFont="1" applyFill="1" applyBorder="1" applyAlignment="1">
      <alignment horizontal="center" vertical="center"/>
    </xf>
    <xf numFmtId="42" fontId="59" fillId="21" borderId="23" xfId="0" applyNumberFormat="1" applyFont="1" applyFill="1" applyBorder="1" applyAlignment="1">
      <alignment horizontal="center" vertical="center"/>
    </xf>
    <xf numFmtId="42" fontId="59" fillId="0" borderId="22" xfId="0" applyNumberFormat="1" applyFont="1" applyBorder="1" applyAlignment="1">
      <alignment horizontal="center" vertical="center"/>
    </xf>
    <xf numFmtId="42" fontId="59" fillId="0" borderId="23" xfId="0" applyNumberFormat="1" applyFont="1" applyBorder="1" applyAlignment="1">
      <alignment horizontal="center" vertical="center"/>
    </xf>
    <xf numFmtId="0" fontId="3" fillId="0" borderId="74" xfId="0" applyFont="1" applyBorder="1" applyAlignment="1">
      <alignment horizontal="center" vertical="center"/>
    </xf>
    <xf numFmtId="0" fontId="9" fillId="21" borderId="52" xfId="0" applyFont="1" applyFill="1" applyBorder="1" applyAlignment="1">
      <alignment horizontal="left" vertical="center" wrapText="1"/>
    </xf>
    <xf numFmtId="0" fontId="24" fillId="19" borderId="52" xfId="0" applyFont="1" applyFill="1" applyBorder="1" applyAlignment="1">
      <alignment horizontal="left" vertical="center" wrapText="1"/>
    </xf>
    <xf numFmtId="0" fontId="3" fillId="21" borderId="48" xfId="0" applyFont="1" applyFill="1" applyBorder="1" applyAlignment="1">
      <alignment horizontal="center" vertical="center"/>
    </xf>
    <xf numFmtId="0" fontId="3" fillId="21" borderId="19" xfId="0" applyFont="1" applyFill="1" applyBorder="1" applyAlignment="1">
      <alignment horizontal="center" vertical="center"/>
    </xf>
    <xf numFmtId="42" fontId="3" fillId="21" borderId="19"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0"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1" borderId="49" xfId="0" applyFont="1" applyFill="1" applyBorder="1" applyAlignment="1">
      <alignment horizontal="center" vertical="center"/>
    </xf>
    <xf numFmtId="0" fontId="0" fillId="21" borderId="22" xfId="0" applyFill="1" applyBorder="1" applyAlignment="1">
      <alignment horizontal="right" vertical="center" wrapText="1"/>
    </xf>
    <xf numFmtId="0" fontId="3" fillId="21" borderId="22" xfId="0" applyFont="1" applyFill="1" applyBorder="1" applyAlignment="1">
      <alignment horizontal="center" vertical="center"/>
    </xf>
    <xf numFmtId="42" fontId="3" fillId="21" borderId="22" xfId="0" applyNumberFormat="1" applyFont="1" applyFill="1" applyBorder="1" applyAlignment="1">
      <alignment horizontal="center" vertical="center"/>
    </xf>
    <xf numFmtId="0" fontId="3" fillId="19" borderId="48" xfId="0" applyFont="1" applyFill="1" applyBorder="1" applyAlignment="1">
      <alignment horizontal="center" vertical="center"/>
    </xf>
    <xf numFmtId="0" fontId="36" fillId="19" borderId="19" xfId="0" applyFont="1" applyFill="1" applyBorder="1" applyAlignment="1">
      <alignment vertical="center" wrapText="1"/>
    </xf>
    <xf numFmtId="0" fontId="3" fillId="19" borderId="19" xfId="0" applyFont="1" applyFill="1" applyBorder="1" applyAlignment="1">
      <alignment horizontal="center" vertical="center"/>
    </xf>
    <xf numFmtId="42" fontId="3" fillId="19" borderId="28" xfId="0" applyNumberFormat="1" applyFont="1" applyFill="1" applyBorder="1" applyAlignment="1">
      <alignment horizontal="center" vertical="center"/>
    </xf>
    <xf numFmtId="0" fontId="11" fillId="19" borderId="48" xfId="0" applyFont="1" applyFill="1" applyBorder="1" applyAlignment="1">
      <alignment horizontal="center" vertical="center"/>
    </xf>
    <xf numFmtId="0" fontId="41" fillId="19" borderId="19" xfId="0" applyFont="1" applyFill="1" applyBorder="1" applyAlignment="1">
      <alignment horizontal="left" vertical="center" wrapText="1"/>
    </xf>
    <xf numFmtId="0" fontId="9" fillId="19" borderId="19" xfId="0" applyFont="1" applyFill="1" applyBorder="1" applyAlignment="1">
      <alignment vertical="center"/>
    </xf>
    <xf numFmtId="42" fontId="11" fillId="19"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19" borderId="52" xfId="0" applyFont="1" applyFill="1" applyBorder="1" applyAlignment="1">
      <alignment horizontal="left" vertical="center" wrapText="1"/>
    </xf>
    <xf numFmtId="0" fontId="0" fillId="21" borderId="19" xfId="0" applyFill="1" applyBorder="1" applyAlignment="1">
      <alignment vertical="center" wrapText="1"/>
    </xf>
    <xf numFmtId="0" fontId="9" fillId="6" borderId="19" xfId="0" applyFont="1" applyFill="1" applyBorder="1" applyAlignment="1">
      <alignment horizontal="left" vertical="center" wrapText="1"/>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1" borderId="22" xfId="0" applyFill="1" applyBorder="1" applyAlignment="1">
      <alignment vertical="center" wrapText="1"/>
    </xf>
    <xf numFmtId="0" fontId="3" fillId="6" borderId="19" xfId="0" quotePrefix="1" applyFont="1" applyFill="1" applyBorder="1" applyAlignment="1">
      <alignment horizontal="center" vertical="center"/>
    </xf>
    <xf numFmtId="0" fontId="3" fillId="0" borderId="5" xfId="0" quotePrefix="1" applyFont="1" applyBorder="1" applyAlignment="1">
      <alignment horizontal="center" vertical="center"/>
    </xf>
    <xf numFmtId="0" fontId="3" fillId="13" borderId="27" xfId="0" quotePrefix="1" applyFont="1" applyFill="1" applyBorder="1" applyAlignment="1">
      <alignment horizontal="center" vertical="center"/>
    </xf>
    <xf numFmtId="0" fontId="11" fillId="21" borderId="49" xfId="0" applyFont="1" applyFill="1" applyBorder="1" applyAlignment="1">
      <alignment horizontal="center" vertical="center"/>
    </xf>
    <xf numFmtId="0" fontId="9" fillId="21" borderId="22" xfId="0" applyFont="1" applyFill="1" applyBorder="1" applyAlignment="1">
      <alignment vertical="center"/>
    </xf>
    <xf numFmtId="0" fontId="11" fillId="21" borderId="22" xfId="0" applyFont="1" applyFill="1" applyBorder="1" applyAlignment="1">
      <alignment horizontal="center" vertical="center"/>
    </xf>
    <xf numFmtId="42" fontId="11" fillId="21" borderId="22" xfId="0" applyNumberFormat="1" applyFont="1" applyFill="1" applyBorder="1" applyAlignment="1">
      <alignment horizontal="left" vertical="center"/>
    </xf>
    <xf numFmtId="42" fontId="32" fillId="21" borderId="22" xfId="0" applyNumberFormat="1" applyFont="1" applyFill="1" applyBorder="1" applyAlignment="1">
      <alignment horizontal="center" vertical="center"/>
    </xf>
    <xf numFmtId="0" fontId="3" fillId="21" borderId="0" xfId="0" applyFont="1" applyFill="1" applyAlignment="1">
      <alignment horizontal="left" vertical="center"/>
    </xf>
    <xf numFmtId="42" fontId="2" fillId="21" borderId="0" xfId="0" applyNumberFormat="1" applyFont="1" applyFill="1" applyAlignment="1">
      <alignment horizontal="left" vertical="center"/>
    </xf>
    <xf numFmtId="42" fontId="3" fillId="21" borderId="0" xfId="0" applyNumberFormat="1" applyFont="1" applyFill="1" applyAlignment="1">
      <alignment horizontal="left" vertical="center"/>
    </xf>
    <xf numFmtId="0" fontId="3" fillId="21" borderId="51" xfId="0" applyFont="1" applyFill="1" applyBorder="1" applyAlignment="1">
      <alignment horizontal="center" vertical="center"/>
    </xf>
    <xf numFmtId="0" fontId="0" fillId="21" borderId="52" xfId="0" applyFill="1" applyBorder="1" applyAlignment="1">
      <alignment vertical="center" wrapText="1"/>
    </xf>
    <xf numFmtId="0" fontId="3" fillId="21" borderId="52" xfId="0" applyFont="1" applyFill="1" applyBorder="1" applyAlignment="1">
      <alignment horizontal="center" vertical="center"/>
    </xf>
    <xf numFmtId="0" fontId="37" fillId="21" borderId="44" xfId="0" applyFont="1" applyFill="1" applyBorder="1" applyAlignment="1">
      <alignment horizontal="center" vertical="center"/>
    </xf>
    <xf numFmtId="0" fontId="40" fillId="13" borderId="2" xfId="0" applyFont="1" applyFill="1" applyBorder="1" applyAlignment="1">
      <alignment horizontal="right" vertical="center" wrapText="1"/>
    </xf>
    <xf numFmtId="42" fontId="35" fillId="19" borderId="24" xfId="0" applyNumberFormat="1" applyFont="1" applyFill="1" applyBorder="1" applyAlignment="1">
      <alignment horizontal="center" vertical="center"/>
    </xf>
    <xf numFmtId="42" fontId="35" fillId="19" borderId="52" xfId="0" applyNumberFormat="1" applyFont="1" applyFill="1" applyBorder="1" applyAlignment="1">
      <alignment horizontal="center" vertical="center"/>
    </xf>
    <xf numFmtId="0" fontId="34" fillId="19" borderId="52" xfId="0" applyFont="1" applyFill="1" applyBorder="1" applyAlignment="1">
      <alignment horizontal="left" vertical="center" wrapText="1"/>
    </xf>
    <xf numFmtId="42" fontId="3" fillId="13"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10" fontId="11" fillId="14" borderId="0" xfId="0" applyNumberFormat="1" applyFont="1" applyFill="1" applyAlignment="1">
      <alignment horizontal="center" vertical="center"/>
    </xf>
    <xf numFmtId="10" fontId="11" fillId="14"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1" borderId="22" xfId="0" applyNumberFormat="1" applyFont="1" applyFill="1" applyBorder="1" applyAlignment="1">
      <alignment horizontal="center" vertical="center"/>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0" fillId="0" borderId="2" xfId="0" applyFont="1" applyBorder="1" applyAlignment="1">
      <alignment vertical="center" wrapText="1"/>
    </xf>
    <xf numFmtId="0" fontId="10" fillId="0" borderId="27" xfId="0" applyFont="1" applyBorder="1" applyAlignment="1">
      <alignment horizontal="center" vertical="center"/>
    </xf>
    <xf numFmtId="42" fontId="59" fillId="0" borderId="14" xfId="0" quotePrefix="1" applyNumberFormat="1" applyFont="1" applyBorder="1" applyAlignment="1">
      <alignment horizontal="center" vertical="center"/>
    </xf>
    <xf numFmtId="0" fontId="60" fillId="0" borderId="0" xfId="0" applyFont="1" applyAlignment="1">
      <alignment horizontal="left" vertical="center" wrapText="1"/>
    </xf>
    <xf numFmtId="0" fontId="9" fillId="13" borderId="22" xfId="0" applyFont="1" applyFill="1" applyBorder="1" applyAlignment="1">
      <alignment horizontal="center" vertical="center" wrapText="1"/>
    </xf>
    <xf numFmtId="0" fontId="40" fillId="0" borderId="22" xfId="0" applyFont="1" applyBorder="1" applyAlignment="1">
      <alignment horizontal="right" vertical="center" wrapText="1"/>
    </xf>
    <xf numFmtId="0" fontId="19" fillId="0" borderId="52" xfId="0" applyFont="1" applyBorder="1" applyAlignment="1">
      <alignment horizontal="left" vertical="center" wrapText="1"/>
    </xf>
    <xf numFmtId="0" fontId="9" fillId="21" borderId="19" xfId="0" applyFont="1" applyFill="1" applyBorder="1" applyAlignment="1">
      <alignment horizontal="left" vertical="center" wrapText="1"/>
    </xf>
    <xf numFmtId="0" fontId="9" fillId="21" borderId="22" xfId="0" applyFont="1" applyFill="1" applyBorder="1" applyAlignment="1">
      <alignment horizontal="left" vertical="center" wrapText="1"/>
    </xf>
    <xf numFmtId="0" fontId="9" fillId="21" borderId="22" xfId="0" applyFont="1" applyFill="1" applyBorder="1" applyAlignment="1">
      <alignment horizontal="left" vertical="center"/>
    </xf>
    <xf numFmtId="0" fontId="23" fillId="21"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1" borderId="23" xfId="0" applyFont="1" applyFill="1" applyBorder="1" applyAlignment="1">
      <alignment horizontal="center" vertical="center"/>
    </xf>
    <xf numFmtId="0" fontId="25" fillId="21" borderId="14" xfId="0" applyFont="1" applyFill="1" applyBorder="1" applyAlignment="1">
      <alignment horizontal="center" vertical="center"/>
    </xf>
    <xf numFmtId="0" fontId="9" fillId="19"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19" borderId="48" xfId="0" applyFont="1" applyFill="1" applyBorder="1" applyAlignment="1">
      <alignment horizontal="center" vertical="center"/>
    </xf>
    <xf numFmtId="0" fontId="29" fillId="19" borderId="19" xfId="0" applyFont="1" applyFill="1" applyBorder="1" applyAlignment="1">
      <alignment horizontal="center" vertical="center"/>
    </xf>
    <xf numFmtId="42" fontId="29" fillId="19" borderId="19" xfId="0" applyNumberFormat="1" applyFont="1" applyFill="1" applyBorder="1" applyAlignment="1">
      <alignment horizontal="center" vertical="center"/>
    </xf>
    <xf numFmtId="42" fontId="39" fillId="19" borderId="19" xfId="0" applyNumberFormat="1" applyFont="1" applyFill="1" applyBorder="1" applyAlignment="1">
      <alignment horizontal="center" vertical="center"/>
    </xf>
    <xf numFmtId="0" fontId="86" fillId="19"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4"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4" borderId="49" xfId="0" applyNumberFormat="1" applyFont="1" applyFill="1" applyBorder="1" applyAlignment="1">
      <alignment horizontal="center" vertical="center"/>
    </xf>
    <xf numFmtId="42" fontId="3" fillId="14" borderId="54" xfId="0" applyNumberFormat="1" applyFont="1" applyFill="1" applyBorder="1" applyAlignment="1">
      <alignment horizontal="center"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1"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0" fillId="0" borderId="9" xfId="0" applyFont="1" applyBorder="1" applyAlignment="1">
      <alignment horizontal="center" vertical="center"/>
    </xf>
    <xf numFmtId="0" fontId="9" fillId="13" borderId="19" xfId="0" applyFont="1" applyFill="1" applyBorder="1" applyAlignment="1">
      <alignment horizontal="left" vertical="center" wrapText="1"/>
    </xf>
    <xf numFmtId="0" fontId="11" fillId="13" borderId="61" xfId="0" applyFont="1" applyFill="1" applyBorder="1" applyAlignment="1">
      <alignment horizontal="right" vertical="center" wrapText="1"/>
    </xf>
    <xf numFmtId="0" fontId="11" fillId="13" borderId="66" xfId="0" applyFont="1" applyFill="1" applyBorder="1" applyAlignment="1">
      <alignment horizontal="center" vertical="center"/>
    </xf>
    <xf numFmtId="0" fontId="11" fillId="13"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1" borderId="0" xfId="0" applyNumberFormat="1" applyFont="1" applyFill="1" applyAlignment="1">
      <alignment horizontal="center" vertical="center"/>
    </xf>
    <xf numFmtId="0" fontId="39" fillId="6" borderId="48" xfId="0" applyFont="1" applyFill="1" applyBorder="1" applyAlignment="1">
      <alignment horizontal="center" vertical="center"/>
    </xf>
    <xf numFmtId="0" fontId="39" fillId="6" borderId="19" xfId="0" applyFont="1" applyFill="1" applyBorder="1" applyAlignment="1">
      <alignment horizontal="left" vertical="center" wrapText="1"/>
    </xf>
    <xf numFmtId="0" fontId="39" fillId="6" borderId="19" xfId="0" applyFont="1" applyFill="1" applyBorder="1" applyAlignment="1">
      <alignment horizontal="center" vertical="center"/>
    </xf>
    <xf numFmtId="42" fontId="39" fillId="6" borderId="19" xfId="0" applyNumberFormat="1" applyFont="1" applyFill="1" applyBorder="1" applyAlignment="1">
      <alignment horizontal="center" vertical="center"/>
    </xf>
    <xf numFmtId="0" fontId="86" fillId="6" borderId="3" xfId="0" applyFont="1" applyFill="1" applyBorder="1" applyAlignment="1">
      <alignment horizontal="center" vertical="center"/>
    </xf>
    <xf numFmtId="0" fontId="11" fillId="13" borderId="60" xfId="0" applyFont="1" applyFill="1" applyBorder="1" applyAlignment="1">
      <alignment horizontal="center" vertical="center"/>
    </xf>
    <xf numFmtId="0" fontId="40" fillId="13" borderId="25" xfId="0" applyFont="1" applyFill="1" applyBorder="1" applyAlignment="1">
      <alignment horizontal="right" vertical="center" wrapText="1"/>
    </xf>
    <xf numFmtId="0" fontId="3" fillId="13" borderId="67" xfId="0" quotePrefix="1" applyFont="1" applyFill="1" applyBorder="1" applyAlignment="1">
      <alignment horizontal="center" vertical="center"/>
    </xf>
    <xf numFmtId="0" fontId="11" fillId="13" borderId="52" xfId="0" applyFont="1" applyFill="1" applyBorder="1" applyAlignment="1">
      <alignment horizontal="center" vertical="center" wrapText="1"/>
    </xf>
    <xf numFmtId="0" fontId="0" fillId="21" borderId="19" xfId="0" applyFill="1" applyBorder="1" applyAlignment="1">
      <alignment vertical="center"/>
    </xf>
    <xf numFmtId="0" fontId="3" fillId="21" borderId="19" xfId="0" quotePrefix="1" applyFont="1" applyFill="1" applyBorder="1" applyAlignment="1">
      <alignment horizontal="center" vertical="center"/>
    </xf>
    <xf numFmtId="0" fontId="9" fillId="21"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1" fillId="14" borderId="24" xfId="0" applyNumberFormat="1" applyFont="1" applyFill="1" applyBorder="1" applyAlignment="1">
      <alignment horizontal="center" vertical="center"/>
    </xf>
    <xf numFmtId="42" fontId="31" fillId="14"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4" borderId="45" xfId="0" applyNumberFormat="1" applyFont="1" applyFill="1" applyBorder="1" applyAlignment="1">
      <alignment horizontal="center" vertical="center"/>
    </xf>
    <xf numFmtId="0" fontId="0" fillId="21" borderId="48" xfId="0" applyFill="1" applyBorder="1" applyAlignment="1">
      <alignment horizontal="center"/>
    </xf>
    <xf numFmtId="42" fontId="0" fillId="21" borderId="19"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4" borderId="46" xfId="0" applyNumberFormat="1" applyFont="1" applyFill="1" applyBorder="1" applyAlignment="1">
      <alignment horizontal="center"/>
    </xf>
    <xf numFmtId="42" fontId="3" fillId="21" borderId="76" xfId="0" applyNumberFormat="1" applyFont="1" applyFill="1" applyBorder="1" applyAlignment="1">
      <alignment horizontal="center"/>
    </xf>
    <xf numFmtId="42" fontId="3" fillId="14" borderId="10"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3" borderId="22" xfId="0" applyNumberFormat="1" applyFont="1" applyFill="1" applyBorder="1" applyAlignment="1">
      <alignment horizontal="center"/>
    </xf>
    <xf numFmtId="42" fontId="3" fillId="13" borderId="50" xfId="0" applyNumberFormat="1" applyFon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13"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0" borderId="23" xfId="0" applyNumberFormat="1" applyFont="1" applyBorder="1" applyAlignment="1">
      <alignment horizontal="center"/>
    </xf>
    <xf numFmtId="0" fontId="0" fillId="21" borderId="0" xfId="0" applyFill="1" applyAlignment="1">
      <alignment horizontal="center"/>
    </xf>
    <xf numFmtId="0" fontId="0" fillId="21" borderId="19" xfId="0" applyFill="1" applyBorder="1" applyAlignment="1">
      <alignment horizontal="right"/>
    </xf>
    <xf numFmtId="42" fontId="3" fillId="21" borderId="19" xfId="0" applyNumberFormat="1" applyFont="1" applyFill="1" applyBorder="1" applyAlignment="1">
      <alignment horizontal="center"/>
    </xf>
    <xf numFmtId="42" fontId="3" fillId="21" borderId="28" xfId="0" applyNumberFormat="1" applyFont="1" applyFill="1" applyBorder="1" applyAlignment="1">
      <alignment horizontal="center"/>
    </xf>
    <xf numFmtId="0" fontId="27" fillId="0" borderId="0" xfId="0" applyFont="1" applyAlignment="1">
      <alignment horizontal="right"/>
    </xf>
    <xf numFmtId="0" fontId="0" fillId="14" borderId="76" xfId="0" applyFill="1" applyBorder="1" applyAlignment="1">
      <alignment horizontal="left"/>
    </xf>
    <xf numFmtId="0" fontId="0" fillId="14" borderId="72" xfId="0" applyFill="1" applyBorder="1" applyAlignment="1">
      <alignment horizontal="left"/>
    </xf>
    <xf numFmtId="42" fontId="10" fillId="0" borderId="0" xfId="0" quotePrefix="1" applyNumberFormat="1" applyFont="1" applyAlignment="1">
      <alignment horizontal="left"/>
    </xf>
    <xf numFmtId="42" fontId="0" fillId="14" borderId="45" xfId="0" applyNumberFormat="1" applyFill="1" applyBorder="1"/>
    <xf numFmtId="42" fontId="10" fillId="0" borderId="14" xfId="0" quotePrefix="1" applyNumberFormat="1" applyFont="1" applyBorder="1" applyAlignment="1">
      <alignment horizontal="left"/>
    </xf>
    <xf numFmtId="0" fontId="0" fillId="14" borderId="56" xfId="0" applyFill="1" applyBorder="1" applyAlignment="1">
      <alignment horizontal="center"/>
    </xf>
    <xf numFmtId="0" fontId="0" fillId="14" borderId="54" xfId="0" applyFill="1" applyBorder="1" applyAlignment="1">
      <alignment horizontal="center"/>
    </xf>
    <xf numFmtId="0" fontId="0" fillId="14" borderId="8" xfId="0" applyFill="1" applyBorder="1" applyAlignment="1">
      <alignment horizontal="left"/>
    </xf>
    <xf numFmtId="0" fontId="0" fillId="14" borderId="9" xfId="0" applyFill="1" applyBorder="1" applyAlignment="1">
      <alignment horizontal="left"/>
    </xf>
    <xf numFmtId="42" fontId="0" fillId="21" borderId="47" xfId="0" applyNumberFormat="1" applyFill="1" applyBorder="1" applyAlignment="1">
      <alignment horizontal="center"/>
    </xf>
    <xf numFmtId="42" fontId="0" fillId="14" borderId="44" xfId="0" applyNumberForma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0" fillId="21"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4" borderId="0" xfId="0" applyFill="1" applyAlignment="1">
      <alignment horizontal="right"/>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4"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2" borderId="3" xfId="0" applyFont="1" applyFill="1" applyBorder="1" applyAlignment="1">
      <alignment horizontal="center"/>
    </xf>
    <xf numFmtId="0" fontId="3" fillId="22" borderId="19" xfId="0" applyFont="1" applyFill="1" applyBorder="1" applyAlignment="1">
      <alignment horizontal="right"/>
    </xf>
    <xf numFmtId="42" fontId="3" fillId="22" borderId="3" xfId="0" applyNumberFormat="1" applyFont="1" applyFill="1" applyBorder="1" applyAlignment="1">
      <alignment horizontal="center"/>
    </xf>
    <xf numFmtId="42" fontId="3" fillId="22" borderId="19" xfId="0" applyNumberFormat="1" applyFont="1" applyFill="1" applyBorder="1" applyAlignment="1">
      <alignment horizontal="center"/>
    </xf>
    <xf numFmtId="0" fontId="10" fillId="0" borderId="0" xfId="0" quotePrefix="1" applyFont="1"/>
    <xf numFmtId="42" fontId="29" fillId="23" borderId="20" xfId="0" applyNumberFormat="1" applyFont="1" applyFill="1" applyBorder="1" applyAlignment="1">
      <alignment horizontal="center"/>
    </xf>
    <xf numFmtId="42" fontId="29" fillId="23" borderId="20" xfId="0" applyNumberFormat="1" applyFont="1" applyFill="1" applyBorder="1" applyAlignment="1">
      <alignment horizontal="left"/>
    </xf>
    <xf numFmtId="0" fontId="29" fillId="23" borderId="68" xfId="0" applyFont="1" applyFill="1" applyBorder="1" applyAlignment="1">
      <alignment horizontal="right"/>
    </xf>
    <xf numFmtId="0" fontId="29" fillId="23" borderId="26" xfId="0" applyFont="1" applyFill="1" applyBorder="1" applyAlignment="1">
      <alignment horizontal="center"/>
    </xf>
    <xf numFmtId="0" fontId="29" fillId="3" borderId="23" xfId="0" applyFont="1" applyFill="1" applyBorder="1" applyAlignment="1">
      <alignment horizontal="center"/>
    </xf>
    <xf numFmtId="42" fontId="0" fillId="0" borderId="8" xfId="0" applyNumberFormat="1" applyBorder="1" applyAlignment="1">
      <alignment horizontal="left"/>
    </xf>
    <xf numFmtId="42" fontId="0" fillId="0" borderId="9" xfId="0" applyNumberFormat="1" applyBorder="1" applyAlignment="1">
      <alignment horizontal="left"/>
    </xf>
    <xf numFmtId="42" fontId="0" fillId="21" borderId="9" xfId="0" applyNumberFormat="1" applyFill="1" applyBorder="1" applyAlignment="1">
      <alignment horizontal="left"/>
    </xf>
    <xf numFmtId="42" fontId="0" fillId="0" borderId="10" xfId="0" applyNumberFormat="1" applyBorder="1" applyAlignment="1">
      <alignment horizontal="left"/>
    </xf>
    <xf numFmtId="42" fontId="0" fillId="14" borderId="56" xfId="0" applyNumberFormat="1" applyFill="1" applyBorder="1"/>
    <xf numFmtId="42" fontId="0" fillId="14" borderId="3" xfId="0" applyNumberFormat="1" applyFill="1" applyBorder="1" applyAlignment="1">
      <alignment horizontal="center"/>
    </xf>
    <xf numFmtId="42" fontId="0" fillId="14"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1" borderId="10" xfId="0" applyNumberFormat="1" applyFill="1" applyBorder="1" applyAlignment="1">
      <alignment horizontal="center"/>
    </xf>
    <xf numFmtId="42" fontId="0" fillId="0" borderId="33" xfId="0" applyNumberFormat="1" applyBorder="1"/>
    <xf numFmtId="42" fontId="0" fillId="14" borderId="12" xfId="0" applyNumberFormat="1" applyFill="1" applyBorder="1"/>
    <xf numFmtId="42" fontId="0" fillId="0" borderId="33" xfId="0" applyNumberFormat="1" applyBorder="1" applyAlignment="1">
      <alignment horizontal="right"/>
    </xf>
    <xf numFmtId="42" fontId="0" fillId="14"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0" fontId="0" fillId="21" borderId="0" xfId="0" applyFill="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4" borderId="19" xfId="0" applyNumberFormat="1" applyFont="1" applyFill="1" applyBorder="1" applyAlignment="1">
      <alignment horizontal="center" vertical="center"/>
    </xf>
    <xf numFmtId="0" fontId="11" fillId="21" borderId="36" xfId="0" applyFont="1" applyFill="1" applyBorder="1" applyAlignment="1">
      <alignment horizontal="center" vertical="center" textRotation="90"/>
    </xf>
    <xf numFmtId="0" fontId="36"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6" fillId="19" borderId="48" xfId="0" applyFont="1" applyFill="1" applyBorder="1" applyAlignment="1">
      <alignment horizontal="left"/>
    </xf>
    <xf numFmtId="0" fontId="3" fillId="14" borderId="71" xfId="0" applyFont="1" applyFill="1" applyBorder="1" applyAlignment="1">
      <alignment horizontal="center" vertical="center"/>
    </xf>
    <xf numFmtId="0" fontId="2" fillId="13" borderId="78" xfId="0" applyFont="1" applyFill="1" applyBorder="1" applyAlignment="1">
      <alignment horizontal="center" vertical="center"/>
    </xf>
    <xf numFmtId="0" fontId="0" fillId="14" borderId="1" xfId="0" applyFill="1" applyBorder="1" applyAlignment="1">
      <alignment horizontal="left" vertical="center" wrapText="1"/>
    </xf>
    <xf numFmtId="0" fontId="3" fillId="13" borderId="67" xfId="0" applyFont="1" applyFill="1" applyBorder="1" applyAlignment="1">
      <alignment horizontal="center" vertical="center"/>
    </xf>
    <xf numFmtId="0" fontId="3" fillId="14" borderId="34" xfId="0" applyFont="1" applyFill="1" applyBorder="1" applyAlignment="1">
      <alignment horizontal="center" vertical="center"/>
    </xf>
    <xf numFmtId="0" fontId="3" fillId="14" borderId="34" xfId="0" applyFont="1" applyFill="1" applyBorder="1" applyAlignment="1">
      <alignment horizontal="center" vertical="center" wrapText="1"/>
    </xf>
    <xf numFmtId="0" fontId="3" fillId="14" borderId="35" xfId="0" applyFont="1" applyFill="1" applyBorder="1" applyAlignment="1">
      <alignment horizontal="center" vertical="center"/>
    </xf>
    <xf numFmtId="0" fontId="0" fillId="14" borderId="46" xfId="0" applyFill="1" applyBorder="1" applyAlignment="1">
      <alignment horizontal="center" vertical="center"/>
    </xf>
    <xf numFmtId="42" fontId="2" fillId="13" borderId="24" xfId="0" applyNumberFormat="1" applyFont="1" applyFill="1" applyBorder="1" applyAlignment="1">
      <alignment horizontal="center" vertical="center"/>
    </xf>
    <xf numFmtId="42" fontId="3" fillId="14" borderId="54" xfId="0" applyNumberFormat="1" applyFont="1" applyFill="1" applyBorder="1" applyAlignment="1">
      <alignment horizontal="left" vertical="center" wrapText="1"/>
    </xf>
    <xf numFmtId="42" fontId="32" fillId="16" borderId="54" xfId="0" applyNumberFormat="1" applyFont="1" applyFill="1" applyBorder="1" applyAlignment="1">
      <alignment horizontal="center" vertical="center"/>
    </xf>
    <xf numFmtId="42" fontId="11" fillId="14" borderId="54" xfId="0" applyNumberFormat="1" applyFont="1" applyFill="1" applyBorder="1" applyAlignment="1">
      <alignment horizontal="center" vertical="center"/>
    </xf>
    <xf numFmtId="42" fontId="2" fillId="13" borderId="52" xfId="0" applyNumberFormat="1" applyFont="1" applyFill="1" applyBorder="1" applyAlignment="1">
      <alignment horizontal="center" vertical="center"/>
    </xf>
    <xf numFmtId="42" fontId="11" fillId="14"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4" borderId="43" xfId="0" applyFont="1" applyFill="1" applyBorder="1" applyAlignment="1">
      <alignment horizontal="center" vertical="center"/>
    </xf>
    <xf numFmtId="42" fontId="3" fillId="14"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1" borderId="24" xfId="0" applyNumberFormat="1" applyFont="1" applyFill="1" applyBorder="1" applyAlignment="1">
      <alignment horizontal="center" vertical="center"/>
    </xf>
    <xf numFmtId="0" fontId="68" fillId="21"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6" fillId="19" borderId="19" xfId="0" applyFont="1" applyFill="1" applyBorder="1"/>
    <xf numFmtId="0" fontId="36" fillId="19" borderId="19" xfId="0" applyFont="1" applyFill="1" applyBorder="1" applyAlignment="1">
      <alignment horizontal="left"/>
    </xf>
    <xf numFmtId="0" fontId="2" fillId="19" borderId="19" xfId="0" applyFont="1" applyFill="1" applyBorder="1" applyAlignment="1">
      <alignment horizontal="left"/>
    </xf>
    <xf numFmtId="0" fontId="2" fillId="19" borderId="28" xfId="0" applyFont="1" applyFill="1" applyBorder="1" applyAlignment="1">
      <alignment horizontal="left"/>
    </xf>
    <xf numFmtId="0" fontId="36" fillId="19" borderId="48" xfId="0" applyFont="1" applyFill="1" applyBorder="1" applyAlignment="1">
      <alignment horizontal="center"/>
    </xf>
    <xf numFmtId="0" fontId="0" fillId="19" borderId="19" xfId="0" applyFill="1" applyBorder="1" applyAlignment="1">
      <alignment horizontal="center"/>
    </xf>
    <xf numFmtId="0" fontId="0" fillId="19" borderId="28" xfId="0" applyFill="1" applyBorder="1" applyAlignment="1">
      <alignment horizontal="center"/>
    </xf>
    <xf numFmtId="0" fontId="36" fillId="21" borderId="0" xfId="0" applyFont="1" applyFill="1" applyAlignment="1">
      <alignment horizontal="center"/>
    </xf>
    <xf numFmtId="0" fontId="7" fillId="21" borderId="0" xfId="0" applyFont="1" applyFill="1" applyAlignment="1">
      <alignment horizontal="left"/>
    </xf>
    <xf numFmtId="0" fontId="0" fillId="21" borderId="3" xfId="0" applyFill="1" applyBorder="1" applyAlignment="1">
      <alignment horizontal="center" vertical="center"/>
    </xf>
    <xf numFmtId="0" fontId="0" fillId="21" borderId="0" xfId="0" applyFill="1" applyAlignment="1">
      <alignment vertical="top"/>
    </xf>
    <xf numFmtId="0" fontId="2" fillId="19" borderId="19" xfId="0" applyFont="1" applyFill="1" applyBorder="1"/>
    <xf numFmtId="0" fontId="2" fillId="19" borderId="28" xfId="0" applyFont="1" applyFill="1" applyBorder="1"/>
    <xf numFmtId="0" fontId="19" fillId="2" borderId="3" xfId="0" applyFont="1" applyFill="1" applyBorder="1" applyAlignment="1">
      <alignment horizontal="center" vertical="center"/>
    </xf>
    <xf numFmtId="0" fontId="0" fillId="19" borderId="28" xfId="0" applyFill="1" applyBorder="1" applyAlignment="1">
      <alignment horizontal="center" vertical="center"/>
    </xf>
    <xf numFmtId="0" fontId="3" fillId="21" borderId="44" xfId="0" applyFont="1" applyFill="1" applyBorder="1" applyAlignment="1">
      <alignment horizontal="center" vertical="center"/>
    </xf>
    <xf numFmtId="0" fontId="36" fillId="21" borderId="0" xfId="0" quotePrefix="1" applyFont="1" applyFill="1" applyAlignment="1">
      <alignment vertical="center" wrapText="1"/>
    </xf>
    <xf numFmtId="0" fontId="42" fillId="21" borderId="0" xfId="0" quotePrefix="1" applyFont="1" applyFill="1" applyAlignment="1">
      <alignment horizontal="left" vertical="center" wrapText="1"/>
    </xf>
    <xf numFmtId="0" fontId="36" fillId="19" borderId="19" xfId="0" quotePrefix="1" applyFont="1" applyFill="1" applyBorder="1" applyAlignment="1">
      <alignment vertical="center" wrapText="1"/>
    </xf>
    <xf numFmtId="0" fontId="42" fillId="19" borderId="28" xfId="0" quotePrefix="1" applyFont="1" applyFill="1" applyBorder="1" applyAlignment="1">
      <alignment horizontal="left" vertical="center" wrapText="1"/>
    </xf>
    <xf numFmtId="0" fontId="88" fillId="19" borderId="48" xfId="0" applyFont="1" applyFill="1" applyBorder="1"/>
    <xf numFmtId="0" fontId="88" fillId="19" borderId="19" xfId="0" applyFont="1" applyFill="1" applyBorder="1" applyAlignment="1">
      <alignment horizontal="center"/>
    </xf>
    <xf numFmtId="0" fontId="88" fillId="19" borderId="28" xfId="0" applyFont="1" applyFill="1" applyBorder="1" applyAlignment="1">
      <alignment horizontal="center"/>
    </xf>
    <xf numFmtId="0" fontId="0" fillId="0" borderId="8" xfId="0" applyBorder="1" applyAlignment="1">
      <alignment vertical="center" wrapText="1"/>
    </xf>
    <xf numFmtId="0" fontId="0" fillId="0" borderId="26" xfId="0" applyBorder="1" applyAlignment="1">
      <alignment vertical="center" wrapText="1"/>
    </xf>
    <xf numFmtId="0" fontId="0" fillId="21"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6" borderId="0" xfId="0" applyFill="1" applyAlignment="1">
      <alignment vertical="center"/>
    </xf>
    <xf numFmtId="0" fontId="0" fillId="16" borderId="0" xfId="0" applyFill="1" applyAlignment="1">
      <alignment horizontal="left" vertical="center"/>
    </xf>
    <xf numFmtId="0" fontId="0" fillId="14" borderId="33" xfId="0" quotePrefix="1" applyFill="1" applyBorder="1" applyAlignment="1">
      <alignment horizontal="center" vertical="center" wrapText="1"/>
    </xf>
    <xf numFmtId="0" fontId="0" fillId="14" borderId="73" xfId="0" quotePrefix="1" applyFill="1" applyBorder="1" applyAlignment="1">
      <alignment horizontal="left" vertical="center" wrapText="1"/>
    </xf>
    <xf numFmtId="0" fontId="0" fillId="14" borderId="34" xfId="0" quotePrefix="1" applyFill="1" applyBorder="1" applyAlignment="1">
      <alignment horizontal="center" vertical="center" wrapText="1"/>
    </xf>
    <xf numFmtId="0" fontId="0" fillId="14" borderId="7" xfId="0" quotePrefix="1" applyFill="1" applyBorder="1" applyAlignment="1">
      <alignment horizontal="left" vertical="center" wrapText="1"/>
    </xf>
    <xf numFmtId="0" fontId="0" fillId="14" borderId="7" xfId="0" quotePrefix="1" applyFill="1" applyBorder="1" applyAlignment="1">
      <alignment vertical="center" wrapText="1"/>
    </xf>
    <xf numFmtId="0" fontId="0" fillId="14" borderId="34" xfId="0" quotePrefix="1" applyFill="1" applyBorder="1" applyAlignment="1">
      <alignment horizontal="center" wrapText="1"/>
    </xf>
    <xf numFmtId="0" fontId="0" fillId="14" borderId="35" xfId="0" quotePrefix="1" applyFill="1" applyBorder="1" applyAlignment="1">
      <alignment horizontal="center" vertical="center" wrapText="1"/>
    </xf>
    <xf numFmtId="0" fontId="0" fillId="14" borderId="68" xfId="0" quotePrefix="1" applyFill="1" applyBorder="1" applyAlignment="1">
      <alignment vertical="center" wrapText="1"/>
    </xf>
    <xf numFmtId="0" fontId="0" fillId="14" borderId="34" xfId="0" applyFill="1" applyBorder="1" applyAlignment="1">
      <alignment horizontal="center" vertical="center"/>
    </xf>
    <xf numFmtId="0" fontId="9" fillId="14" borderId="34" xfId="0" applyFont="1" applyFill="1" applyBorder="1" applyAlignment="1">
      <alignment horizontal="center" vertical="center" wrapText="1"/>
    </xf>
    <xf numFmtId="0" fontId="24" fillId="0" borderId="19" xfId="0" applyFont="1" applyBorder="1" applyAlignment="1">
      <alignment horizontal="left" vertical="center" wrapText="1"/>
    </xf>
    <xf numFmtId="0" fontId="0" fillId="0" borderId="27" xfId="0" applyBorder="1" applyAlignment="1">
      <alignment vertical="center" wrapText="1"/>
    </xf>
    <xf numFmtId="42" fontId="10" fillId="16" borderId="0" xfId="0" applyNumberFormat="1" applyFont="1" applyFill="1" applyAlignment="1">
      <alignment horizontal="center" vertical="center"/>
    </xf>
    <xf numFmtId="42" fontId="10" fillId="16" borderId="14" xfId="0" applyNumberFormat="1" applyFont="1" applyFill="1" applyBorder="1" applyAlignment="1">
      <alignment horizontal="center" vertical="center"/>
    </xf>
    <xf numFmtId="44" fontId="0" fillId="14"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3" fillId="16"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4"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3" borderId="59" xfId="0" applyFont="1" applyFill="1" applyBorder="1" applyAlignment="1">
      <alignment horizontal="center" vertical="center"/>
    </xf>
    <xf numFmtId="0" fontId="0" fillId="14" borderId="33" xfId="0" applyFill="1" applyBorder="1" applyAlignment="1">
      <alignment horizontal="center" vertical="center"/>
    </xf>
    <xf numFmtId="0" fontId="0" fillId="14" borderId="11" xfId="0" applyFill="1" applyBorder="1" applyAlignment="1">
      <alignment horizontal="left" vertical="center"/>
    </xf>
    <xf numFmtId="0" fontId="11" fillId="0" borderId="12" xfId="0" quotePrefix="1" applyFont="1" applyBorder="1" applyAlignment="1">
      <alignment horizontal="center" vertical="center"/>
    </xf>
    <xf numFmtId="0" fontId="0" fillId="13" borderId="36" xfId="0" applyFill="1" applyBorder="1" applyAlignment="1">
      <alignment horizontal="center" vertical="center"/>
    </xf>
    <xf numFmtId="0" fontId="0" fillId="13" borderId="34" xfId="0" applyFill="1" applyBorder="1" applyAlignment="1">
      <alignment horizontal="center" vertical="center"/>
    </xf>
    <xf numFmtId="0" fontId="0" fillId="0" borderId="17" xfId="0" quotePrefix="1" applyBorder="1" applyAlignment="1">
      <alignment horizontal="center" vertical="center" wrapText="1"/>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1"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19"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3" borderId="23" xfId="0" applyFill="1" applyBorder="1" applyAlignment="1">
      <alignment horizontal="center" vertical="center"/>
    </xf>
    <xf numFmtId="0" fontId="0" fillId="6" borderId="14" xfId="0" applyFill="1" applyBorder="1" applyAlignment="1">
      <alignment horizontal="center" vertical="center"/>
    </xf>
    <xf numFmtId="0" fontId="0" fillId="13"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0" fillId="13" borderId="23" xfId="0" applyFont="1" applyFill="1" applyBorder="1" applyAlignment="1">
      <alignment horizontal="center" vertical="center"/>
    </xf>
    <xf numFmtId="0" fontId="60" fillId="4" borderId="10" xfId="0" applyFont="1" applyFill="1" applyBorder="1" applyAlignment="1">
      <alignment horizontal="center" vertical="center"/>
    </xf>
    <xf numFmtId="0" fontId="0" fillId="14" borderId="15" xfId="0" applyFill="1" applyBorder="1" applyAlignment="1">
      <alignment horizontal="center" vertical="center"/>
    </xf>
    <xf numFmtId="0" fontId="0" fillId="14" borderId="9" xfId="0" applyFill="1" applyBorder="1" applyAlignment="1">
      <alignment horizontal="center" vertical="center" wrapText="1"/>
    </xf>
    <xf numFmtId="0" fontId="6" fillId="13"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3"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19" borderId="24" xfId="0" applyFill="1" applyBorder="1" applyAlignment="1">
      <alignment horizontal="center" vertical="center"/>
    </xf>
    <xf numFmtId="0" fontId="0" fillId="14" borderId="8" xfId="0" applyFill="1" applyBorder="1" applyAlignment="1">
      <alignment horizontal="center" vertical="center"/>
    </xf>
    <xf numFmtId="0" fontId="9" fillId="14" borderId="9" xfId="0" applyFont="1" applyFill="1" applyBorder="1" applyAlignment="1">
      <alignment horizontal="center" vertical="center" wrapText="1"/>
    </xf>
    <xf numFmtId="0" fontId="0" fillId="13" borderId="24" xfId="0" applyFill="1" applyBorder="1" applyAlignment="1">
      <alignment horizontal="center" vertical="center"/>
    </xf>
    <xf numFmtId="0" fontId="0" fillId="15" borderId="23" xfId="0" applyFill="1" applyBorder="1" applyAlignment="1">
      <alignment horizontal="center" vertical="center"/>
    </xf>
    <xf numFmtId="0" fontId="0" fillId="7" borderId="23" xfId="0" applyFill="1" applyBorder="1" applyAlignment="1">
      <alignment horizontal="center" vertical="center"/>
    </xf>
    <xf numFmtId="0" fontId="0" fillId="21" borderId="24" xfId="0" applyFill="1" applyBorder="1" applyAlignment="1">
      <alignment horizontal="center" vertical="center"/>
    </xf>
    <xf numFmtId="0" fontId="5" fillId="0" borderId="14" xfId="0" applyFont="1" applyBorder="1" applyAlignment="1">
      <alignment horizontal="center" vertical="center"/>
    </xf>
    <xf numFmtId="0" fontId="0" fillId="21" borderId="8" xfId="0" quotePrefix="1" applyFill="1" applyBorder="1" applyAlignment="1">
      <alignment horizontal="center" vertical="center" wrapText="1"/>
    </xf>
    <xf numFmtId="0" fontId="0" fillId="21" borderId="9" xfId="0" quotePrefix="1" applyFill="1" applyBorder="1" applyAlignment="1">
      <alignment horizontal="center" vertical="center" wrapText="1"/>
    </xf>
    <xf numFmtId="0" fontId="0" fillId="21" borderId="9" xfId="0" quotePrefix="1" applyFill="1" applyBorder="1" applyAlignment="1">
      <alignment horizontal="center" wrapText="1"/>
    </xf>
    <xf numFmtId="0" fontId="0" fillId="21"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4" borderId="15" xfId="0" applyNumberFormat="1" applyFill="1" applyBorder="1"/>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0" fontId="43" fillId="16"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3"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6" borderId="24" xfId="0" applyNumberFormat="1" applyFill="1" applyBorder="1" applyAlignment="1">
      <alignment vertical="center"/>
    </xf>
    <xf numFmtId="0" fontId="9" fillId="0" borderId="0" xfId="0" quotePrefix="1" applyFont="1" applyAlignment="1">
      <alignment horizontal="left" vertical="center" wrapText="1"/>
    </xf>
    <xf numFmtId="0" fontId="24" fillId="19" borderId="0" xfId="0" quotePrefix="1" applyFont="1" applyFill="1" applyAlignment="1">
      <alignment horizontal="left" vertical="center" wrapText="1"/>
    </xf>
    <xf numFmtId="0" fontId="3" fillId="13" borderId="2" xfId="0" applyFont="1" applyFill="1" applyBorder="1" applyAlignment="1">
      <alignment horizontal="right" vertical="center"/>
    </xf>
    <xf numFmtId="0" fontId="9" fillId="13" borderId="0" xfId="0" applyFont="1" applyFill="1" applyAlignment="1">
      <alignment horizontal="left" vertical="center"/>
    </xf>
    <xf numFmtId="0" fontId="0" fillId="19"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19" borderId="23" xfId="0" applyNumberFormat="1" applyFont="1" applyFill="1" applyBorder="1" applyAlignment="1">
      <alignment horizontal="center" vertical="center"/>
    </xf>
    <xf numFmtId="42" fontId="11" fillId="13" borderId="24" xfId="0" applyNumberFormat="1" applyFont="1" applyFill="1" applyBorder="1" applyAlignment="1">
      <alignment horizontal="center" vertical="center"/>
    </xf>
    <xf numFmtId="9" fontId="0" fillId="14"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4" borderId="23" xfId="0" applyNumberFormat="1" applyFont="1" applyFill="1" applyBorder="1" applyAlignment="1">
      <alignment horizontal="center" vertical="center" wrapText="1"/>
    </xf>
    <xf numFmtId="42" fontId="11" fillId="14"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4" borderId="23" xfId="0" applyNumberFormat="1" applyFont="1" applyFill="1" applyBorder="1" applyAlignment="1">
      <alignment horizontal="center" vertical="center"/>
    </xf>
    <xf numFmtId="42" fontId="11" fillId="21" borderId="14"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4"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6"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4" borderId="3" xfId="0" applyNumberFormat="1" applyFill="1" applyBorder="1" applyAlignment="1">
      <alignment horizontal="center" vertical="center"/>
    </xf>
    <xf numFmtId="0" fontId="11" fillId="0" borderId="51" xfId="0" applyFont="1" applyBorder="1" applyAlignment="1">
      <alignment horizontal="center" vertical="center"/>
    </xf>
    <xf numFmtId="44" fontId="43" fillId="16" borderId="8" xfId="0" applyNumberFormat="1" applyFont="1" applyFill="1" applyBorder="1" applyAlignment="1">
      <alignment horizontal="center" vertical="center"/>
    </xf>
    <xf numFmtId="44" fontId="43" fillId="16" borderId="26" xfId="0" applyNumberFormat="1" applyFont="1" applyFill="1" applyBorder="1" applyAlignment="1">
      <alignment horizontal="center"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3" fillId="16" borderId="19" xfId="0" applyNumberFormat="1" applyFont="1" applyFill="1" applyBorder="1" applyAlignment="1">
      <alignment horizontal="center" vertical="center"/>
    </xf>
    <xf numFmtId="0" fontId="0" fillId="3" borderId="19" xfId="0" applyFill="1" applyBorder="1" applyAlignment="1">
      <alignment vertical="center"/>
    </xf>
    <xf numFmtId="0" fontId="0" fillId="0" borderId="76" xfId="0" applyBorder="1" applyAlignment="1">
      <alignment vertical="center"/>
    </xf>
    <xf numFmtId="0" fontId="0" fillId="0" borderId="71" xfId="0" applyBorder="1" applyAlignment="1">
      <alignment vertical="center"/>
    </xf>
    <xf numFmtId="42" fontId="9" fillId="21" borderId="11" xfId="0" applyNumberFormat="1" applyFont="1" applyFill="1" applyBorder="1" applyAlignment="1">
      <alignment horizontal="center" vertical="center"/>
    </xf>
    <xf numFmtId="42" fontId="9" fillId="21" borderId="1" xfId="0" applyNumberFormat="1" applyFont="1" applyFill="1" applyBorder="1" applyAlignment="1">
      <alignment horizontal="center" vertical="center"/>
    </xf>
    <xf numFmtId="42" fontId="9" fillId="21" borderId="20" xfId="0" applyNumberFormat="1" applyFont="1" applyFill="1" applyBorder="1" applyAlignment="1">
      <alignment horizontal="center" vertical="center"/>
    </xf>
    <xf numFmtId="0" fontId="0" fillId="3" borderId="28" xfId="0" applyFill="1" applyBorder="1" applyAlignment="1">
      <alignment vertical="center"/>
    </xf>
    <xf numFmtId="0" fontId="71" fillId="0" borderId="0" xfId="2" applyFont="1" applyFill="1" applyBorder="1" applyAlignment="1">
      <alignment horizontal="left" vertical="center"/>
    </xf>
    <xf numFmtId="42" fontId="0" fillId="14" borderId="58" xfId="0" applyNumberFormat="1" applyFill="1" applyBorder="1" applyAlignment="1">
      <alignment horizontal="center" vertical="center"/>
    </xf>
    <xf numFmtId="42" fontId="0" fillId="0" borderId="32" xfId="0" applyNumberFormat="1" applyBorder="1" applyAlignment="1">
      <alignment horizontal="center" vertical="center"/>
    </xf>
    <xf numFmtId="44" fontId="0" fillId="0" borderId="72" xfId="0" applyNumberFormat="1" applyBorder="1" applyAlignment="1">
      <alignment horizontal="center" vertical="center"/>
    </xf>
    <xf numFmtId="44" fontId="0" fillId="0" borderId="10" xfId="0" applyNumberFormat="1" applyBorder="1" applyAlignment="1">
      <alignment horizontal="center" vertical="center"/>
    </xf>
    <xf numFmtId="44" fontId="9" fillId="14" borderId="58"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44" fontId="9" fillId="14" borderId="15" xfId="0" applyNumberFormat="1" applyFont="1" applyFill="1" applyBorder="1" applyAlignment="1">
      <alignment horizontal="center" vertical="center"/>
    </xf>
    <xf numFmtId="44" fontId="9" fillId="14" borderId="9" xfId="0" applyNumberFormat="1" applyFont="1" applyFill="1" applyBorder="1" applyAlignment="1">
      <alignment horizontal="center" vertical="center"/>
    </xf>
    <xf numFmtId="44" fontId="11" fillId="3" borderId="26" xfId="0" applyNumberFormat="1" applyFont="1" applyFill="1" applyBorder="1" applyAlignment="1">
      <alignment horizontal="center" vertical="center"/>
    </xf>
    <xf numFmtId="168" fontId="9" fillId="0" borderId="63" xfId="0" applyNumberFormat="1" applyFont="1" applyBorder="1" applyAlignment="1">
      <alignment horizontal="center" vertical="center"/>
    </xf>
    <xf numFmtId="0" fontId="60" fillId="13" borderId="22" xfId="0" applyFont="1" applyFill="1" applyBorder="1" applyAlignment="1">
      <alignment horizontal="left" vertical="center" wrapText="1"/>
    </xf>
    <xf numFmtId="0" fontId="11" fillId="0" borderId="37" xfId="0" quotePrefix="1" applyFont="1" applyBorder="1" applyAlignment="1">
      <alignment horizontal="center" vertical="center"/>
    </xf>
    <xf numFmtId="42" fontId="11" fillId="0" borderId="9" xfId="0" applyNumberFormat="1" applyFont="1" applyBorder="1" applyAlignment="1">
      <alignment horizontal="center" vertical="center"/>
    </xf>
    <xf numFmtId="42" fontId="11" fillId="0" borderId="46" xfId="0" applyNumberFormat="1" applyFont="1" applyBorder="1" applyAlignment="1">
      <alignment horizontal="center" vertical="center"/>
    </xf>
    <xf numFmtId="0" fontId="19" fillId="0" borderId="1" xfId="0" applyFont="1" applyBorder="1" applyAlignment="1">
      <alignment vertical="center" wrapText="1"/>
    </xf>
    <xf numFmtId="44" fontId="9" fillId="0" borderId="36" xfId="0" applyNumberFormat="1" applyFont="1" applyBorder="1" applyAlignment="1">
      <alignment horizontal="center" vertical="center"/>
    </xf>
    <xf numFmtId="44" fontId="15" fillId="2" borderId="14" xfId="0" applyNumberFormat="1" applyFont="1" applyFill="1" applyBorder="1" applyAlignment="1">
      <alignment horizontal="center" vertical="center" wrapText="1"/>
    </xf>
    <xf numFmtId="44" fontId="0" fillId="14" borderId="56" xfId="0" applyNumberFormat="1" applyFill="1" applyBorder="1" applyAlignment="1">
      <alignment vertical="center"/>
    </xf>
    <xf numFmtId="44" fontId="0" fillId="14" borderId="57" xfId="0" applyNumberFormat="1" applyFill="1" applyBorder="1" applyAlignment="1">
      <alignment vertical="center"/>
    </xf>
    <xf numFmtId="0" fontId="0" fillId="0" borderId="72" xfId="0" applyBorder="1"/>
    <xf numFmtId="44" fontId="11" fillId="2" borderId="40" xfId="0" applyNumberFormat="1" applyFont="1" applyFill="1" applyBorder="1" applyAlignment="1">
      <alignment horizontal="center" vertical="center"/>
    </xf>
    <xf numFmtId="44" fontId="9" fillId="0" borderId="41" xfId="0" applyNumberFormat="1" applyFont="1" applyBorder="1" applyAlignment="1">
      <alignment vertical="center"/>
    </xf>
    <xf numFmtId="44" fontId="9" fillId="0" borderId="37" xfId="0" applyNumberFormat="1" applyFont="1" applyBorder="1" applyAlignment="1">
      <alignment vertical="center"/>
    </xf>
    <xf numFmtId="44" fontId="9" fillId="0" borderId="34" xfId="0" applyNumberFormat="1" applyFont="1" applyBorder="1" applyAlignment="1">
      <alignment horizontal="center" vertical="center"/>
    </xf>
    <xf numFmtId="44" fontId="3" fillId="2" borderId="40" xfId="0" applyNumberFormat="1" applyFont="1" applyFill="1" applyBorder="1" applyAlignment="1">
      <alignment horizontal="center" vertical="center"/>
    </xf>
    <xf numFmtId="44" fontId="9" fillId="0" borderId="41" xfId="0" applyNumberFormat="1" applyFont="1" applyBorder="1" applyAlignment="1">
      <alignment horizontal="center" vertical="center"/>
    </xf>
    <xf numFmtId="44" fontId="9" fillId="0" borderId="37" xfId="0" applyNumberFormat="1" applyFont="1" applyBorder="1" applyAlignment="1">
      <alignment horizontal="center" vertical="center"/>
    </xf>
    <xf numFmtId="44" fontId="0" fillId="14" borderId="64" xfId="0" applyNumberFormat="1" applyFill="1" applyBorder="1" applyAlignment="1">
      <alignment horizontal="center" vertical="center"/>
    </xf>
    <xf numFmtId="44" fontId="9" fillId="0" borderId="42" xfId="0" applyNumberFormat="1" applyFont="1" applyBorder="1" applyAlignment="1">
      <alignment horizontal="center" vertical="center"/>
    </xf>
    <xf numFmtId="44" fontId="9" fillId="0" borderId="64" xfId="0" applyNumberFormat="1" applyFont="1" applyBorder="1" applyAlignment="1">
      <alignment horizontal="center" vertical="center"/>
    </xf>
    <xf numFmtId="44" fontId="9" fillId="0" borderId="40" xfId="0" applyNumberFormat="1" applyFont="1" applyBorder="1" applyAlignment="1">
      <alignment horizontal="center" vertical="center"/>
    </xf>
    <xf numFmtId="164" fontId="9" fillId="14" borderId="69"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9" fillId="0" borderId="28" xfId="0" applyFont="1" applyBorder="1" applyAlignment="1">
      <alignment horizontal="center" vertical="center"/>
    </xf>
    <xf numFmtId="164" fontId="9" fillId="14" borderId="15" xfId="0" applyNumberFormat="1" applyFont="1" applyFill="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10" fontId="9" fillId="0" borderId="3" xfId="0" applyNumberFormat="1" applyFont="1" applyBorder="1" applyAlignment="1">
      <alignment horizontal="center" vertical="center"/>
    </xf>
    <xf numFmtId="0" fontId="11" fillId="2" borderId="4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 xfId="0" applyFont="1" applyFill="1" applyBorder="1" applyAlignment="1">
      <alignment horizontal="center" vertical="center"/>
    </xf>
    <xf numFmtId="44" fontId="0" fillId="14" borderId="64" xfId="0" applyNumberFormat="1" applyFill="1" applyBorder="1" applyAlignment="1">
      <alignment vertical="center"/>
    </xf>
    <xf numFmtId="44" fontId="9" fillId="0" borderId="42" xfId="0" applyNumberFormat="1" applyFont="1" applyBorder="1" applyAlignment="1">
      <alignment vertical="center"/>
    </xf>
    <xf numFmtId="44" fontId="0" fillId="14" borderId="36" xfId="0" applyNumberFormat="1" applyFill="1" applyBorder="1" applyAlignment="1">
      <alignment vertical="center"/>
    </xf>
    <xf numFmtId="44" fontId="9" fillId="0" borderId="40" xfId="0" applyNumberFormat="1" applyFont="1" applyBorder="1" applyAlignment="1">
      <alignment vertical="center"/>
    </xf>
    <xf numFmtId="0" fontId="0" fillId="21" borderId="46" xfId="0" applyFill="1" applyBorder="1" applyAlignment="1">
      <alignment vertical="top" wrapText="1"/>
    </xf>
    <xf numFmtId="0" fontId="0" fillId="0" borderId="47" xfId="0" quotePrefix="1" applyBorder="1" applyAlignment="1">
      <alignment vertical="top" wrapText="1"/>
    </xf>
    <xf numFmtId="44" fontId="0" fillId="14" borderId="54" xfId="0" applyNumberFormat="1" applyFill="1" applyBorder="1" applyAlignment="1">
      <alignment vertical="center"/>
    </xf>
    <xf numFmtId="0" fontId="0" fillId="0" borderId="9" xfId="0" applyBorder="1" applyAlignment="1">
      <alignment vertical="center"/>
    </xf>
    <xf numFmtId="44" fontId="9" fillId="0" borderId="9" xfId="0" applyNumberFormat="1" applyFont="1" applyBorder="1" applyAlignment="1">
      <alignment vertical="center"/>
    </xf>
    <xf numFmtId="0" fontId="3" fillId="10" borderId="3" xfId="0" applyFont="1" applyFill="1" applyBorder="1" applyAlignment="1">
      <alignment horizontal="center"/>
    </xf>
    <xf numFmtId="167" fontId="3" fillId="2" borderId="44" xfId="0" applyNumberFormat="1" applyFont="1" applyFill="1" applyBorder="1" applyAlignment="1">
      <alignment horizontal="center" vertical="center"/>
    </xf>
    <xf numFmtId="0" fontId="0" fillId="12" borderId="53" xfId="0" applyFill="1" applyBorder="1" applyAlignment="1">
      <alignment horizontal="center" vertical="center"/>
    </xf>
    <xf numFmtId="0" fontId="3" fillId="2" borderId="24" xfId="0" applyFont="1" applyFill="1" applyBorder="1" applyAlignment="1">
      <alignment horizontal="center" vertical="center"/>
    </xf>
    <xf numFmtId="9" fontId="0" fillId="0" borderId="0" xfId="0" applyNumberFormat="1" applyAlignment="1">
      <alignment horizontal="center"/>
    </xf>
    <xf numFmtId="44" fontId="0" fillId="14" borderId="73" xfId="0" applyNumberFormat="1" applyFill="1" applyBorder="1" applyAlignment="1">
      <alignment horizontal="left"/>
    </xf>
    <xf numFmtId="44" fontId="0" fillId="14" borderId="68" xfId="0" applyNumberFormat="1" applyFill="1" applyBorder="1" applyAlignment="1">
      <alignment horizontal="left"/>
    </xf>
    <xf numFmtId="42" fontId="27" fillId="2" borderId="3" xfId="0" applyNumberFormat="1" applyFont="1" applyFill="1" applyBorder="1" applyAlignment="1">
      <alignment horizontal="left" vertical="center"/>
    </xf>
    <xf numFmtId="0" fontId="11" fillId="0" borderId="17" xfId="0" applyFont="1" applyBorder="1" applyAlignment="1">
      <alignment horizontal="center" vertical="center" wrapText="1"/>
    </xf>
    <xf numFmtId="42" fontId="0" fillId="14" borderId="32" xfId="0" applyNumberFormat="1" applyFill="1" applyBorder="1" applyAlignment="1">
      <alignment horizontal="center" vertical="center"/>
    </xf>
    <xf numFmtId="42" fontId="0" fillId="14" borderId="57" xfId="0" applyNumberFormat="1" applyFill="1" applyBorder="1" applyAlignment="1">
      <alignment horizontal="center" vertical="center"/>
    </xf>
    <xf numFmtId="0" fontId="9" fillId="14" borderId="8" xfId="0" applyFont="1" applyFill="1" applyBorder="1" applyAlignment="1">
      <alignment vertical="center"/>
    </xf>
    <xf numFmtId="0" fontId="9" fillId="14" borderId="9" xfId="0" applyFont="1" applyFill="1" applyBorder="1" applyAlignment="1">
      <alignment vertical="center"/>
    </xf>
    <xf numFmtId="0" fontId="9" fillId="14" borderId="26" xfId="0" applyFont="1" applyFill="1" applyBorder="1" applyAlignment="1">
      <alignment vertical="center"/>
    </xf>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0" fillId="21" borderId="26" xfId="0" applyFill="1" applyBorder="1" applyAlignment="1">
      <alignment horizontal="center" vertical="center"/>
    </xf>
    <xf numFmtId="168" fontId="0" fillId="0" borderId="5" xfId="0" applyNumberFormat="1" applyBorder="1" applyAlignment="1">
      <alignment horizontal="center" vertical="center"/>
    </xf>
    <xf numFmtId="44" fontId="45" fillId="0" borderId="26" xfId="0" applyNumberFormat="1" applyFont="1" applyBorder="1" applyAlignment="1">
      <alignment vertical="center"/>
    </xf>
    <xf numFmtId="44" fontId="9" fillId="21" borderId="38" xfId="0" applyNumberFormat="1" applyFont="1" applyFill="1" applyBorder="1" applyAlignment="1">
      <alignment vertical="center"/>
    </xf>
    <xf numFmtId="44" fontId="9" fillId="21" borderId="39" xfId="0" applyNumberFormat="1" applyFont="1" applyFill="1" applyBorder="1" applyAlignment="1">
      <alignment vertical="center"/>
    </xf>
    <xf numFmtId="0" fontId="11" fillId="0" borderId="18" xfId="0" applyFont="1" applyBorder="1" applyAlignment="1">
      <alignment horizontal="center" vertical="center" wrapText="1"/>
    </xf>
    <xf numFmtId="0" fontId="11" fillId="2" borderId="36" xfId="0" applyFont="1" applyFill="1" applyBorder="1" applyAlignment="1">
      <alignment horizontal="center" vertical="center" wrapText="1"/>
    </xf>
    <xf numFmtId="1" fontId="0" fillId="14" borderId="29" xfId="0" applyNumberFormat="1" applyFill="1" applyBorder="1" applyAlignment="1">
      <alignment horizontal="center"/>
    </xf>
    <xf numFmtId="164" fontId="9" fillId="0" borderId="3" xfId="0" applyNumberFormat="1" applyFont="1" applyBorder="1" applyAlignment="1">
      <alignment horizontal="center" vertical="center"/>
    </xf>
    <xf numFmtId="164" fontId="9" fillId="0" borderId="28" xfId="0" applyNumberFormat="1" applyFont="1" applyBorder="1" applyAlignment="1">
      <alignment horizontal="center" vertical="center"/>
    </xf>
    <xf numFmtId="0" fontId="2" fillId="21" borderId="0" xfId="0" applyFont="1" applyFill="1" applyAlignment="1">
      <alignment vertical="center" wrapText="1"/>
    </xf>
    <xf numFmtId="0" fontId="37" fillId="21" borderId="0" xfId="0" applyFont="1" applyFill="1" applyAlignment="1">
      <alignment vertical="center"/>
    </xf>
    <xf numFmtId="44" fontId="0" fillId="0" borderId="0" xfId="0" applyNumberFormat="1" applyAlignment="1">
      <alignment vertical="top"/>
    </xf>
    <xf numFmtId="0" fontId="0" fillId="14" borderId="65" xfId="0" applyFill="1" applyBorder="1" applyAlignment="1">
      <alignment horizontal="center" vertical="center"/>
    </xf>
    <xf numFmtId="0" fontId="3" fillId="2" borderId="3" xfId="0" applyFont="1" applyFill="1" applyBorder="1" applyAlignment="1">
      <alignment horizontal="right" vertical="center"/>
    </xf>
    <xf numFmtId="0" fontId="3" fillId="14" borderId="3" xfId="0" applyFont="1" applyFill="1" applyBorder="1" applyAlignment="1">
      <alignment horizontal="center" vertical="center"/>
    </xf>
    <xf numFmtId="0" fontId="3" fillId="2" borderId="49" xfId="0" applyFont="1" applyFill="1" applyBorder="1" applyAlignment="1">
      <alignment horizontal="left" vertical="center" wrapText="1"/>
    </xf>
    <xf numFmtId="0" fontId="0" fillId="16" borderId="50" xfId="0" applyFill="1" applyBorder="1" applyAlignment="1">
      <alignment vertical="center"/>
    </xf>
    <xf numFmtId="0" fontId="0" fillId="16" borderId="30" xfId="0" applyFill="1" applyBorder="1" applyAlignment="1">
      <alignment vertical="center"/>
    </xf>
    <xf numFmtId="41" fontId="0" fillId="14" borderId="32" xfId="0" applyNumberFormat="1" applyFill="1" applyBorder="1" applyAlignment="1">
      <alignment horizontal="center" vertical="center"/>
    </xf>
    <xf numFmtId="42" fontId="3" fillId="3" borderId="29" xfId="0" applyNumberFormat="1" applyFont="1" applyFill="1" applyBorder="1" applyAlignment="1">
      <alignment horizontal="center" vertical="center"/>
    </xf>
    <xf numFmtId="42" fontId="11" fillId="14" borderId="3" xfId="0" applyNumberFormat="1" applyFont="1" applyFill="1" applyBorder="1" applyAlignment="1">
      <alignment vertical="center"/>
    </xf>
    <xf numFmtId="0" fontId="0" fillId="0" borderId="14" xfId="0" applyBorder="1" applyAlignment="1">
      <alignment vertical="center"/>
    </xf>
    <xf numFmtId="0" fontId="3" fillId="0" borderId="11" xfId="0" applyFont="1" applyBorder="1" applyAlignment="1">
      <alignment horizontal="right" vertical="center" wrapText="1"/>
    </xf>
    <xf numFmtId="0" fontId="0" fillId="0" borderId="25" xfId="0" applyBorder="1" applyAlignment="1">
      <alignment horizontal="right" vertical="center" wrapText="1"/>
    </xf>
    <xf numFmtId="0" fontId="2" fillId="0" borderId="19" xfId="0" applyFont="1" applyBorder="1" applyAlignment="1">
      <alignment horizontal="right" vertical="center" wrapText="1"/>
    </xf>
    <xf numFmtId="42" fontId="3" fillId="0" borderId="48" xfId="0" applyNumberFormat="1" applyFont="1" applyBorder="1" applyAlignment="1">
      <alignment horizontal="center" vertical="center"/>
    </xf>
    <xf numFmtId="42" fontId="3" fillId="0" borderId="3" xfId="0" applyNumberFormat="1" applyFont="1" applyBorder="1" applyAlignment="1">
      <alignment horizontal="center" vertical="center"/>
    </xf>
    <xf numFmtId="42" fontId="3" fillId="14" borderId="51" xfId="0" applyNumberFormat="1" applyFont="1" applyFill="1" applyBorder="1" applyAlignment="1">
      <alignment horizontal="center" vertical="center"/>
    </xf>
    <xf numFmtId="0" fontId="18" fillId="0" borderId="0" xfId="0" applyFont="1" applyAlignment="1">
      <alignment horizontal="left" vertical="center"/>
    </xf>
    <xf numFmtId="0" fontId="9" fillId="21" borderId="2" xfId="0" applyFont="1" applyFill="1" applyBorder="1" applyAlignment="1">
      <alignment vertical="center" wrapText="1"/>
    </xf>
    <xf numFmtId="0" fontId="0" fillId="14" borderId="17" xfId="0" applyFill="1" applyBorder="1" applyAlignment="1">
      <alignment vertical="center" wrapText="1"/>
    </xf>
    <xf numFmtId="0" fontId="37" fillId="0" borderId="0" xfId="0" applyFont="1" applyAlignment="1">
      <alignment horizontal="left" vertical="center"/>
    </xf>
    <xf numFmtId="0" fontId="5" fillId="14" borderId="9" xfId="0" applyFont="1" applyFill="1" applyBorder="1" applyAlignment="1">
      <alignment horizontal="center" vertical="center"/>
    </xf>
    <xf numFmtId="0" fontId="5" fillId="0" borderId="0" xfId="0" applyFont="1" applyAlignment="1">
      <alignment vertical="top"/>
    </xf>
    <xf numFmtId="44" fontId="3" fillId="14" borderId="19" xfId="0" applyNumberFormat="1" applyFont="1" applyFill="1" applyBorder="1" applyAlignment="1">
      <alignment horizontal="center" vertical="center"/>
    </xf>
    <xf numFmtId="0" fontId="0" fillId="14" borderId="64" xfId="0" applyFill="1" applyBorder="1" applyAlignment="1">
      <alignment horizontal="center" vertical="center"/>
    </xf>
    <xf numFmtId="0" fontId="0" fillId="14" borderId="6" xfId="0" applyFill="1" applyBorder="1" applyAlignment="1">
      <alignment horizontal="left" vertical="center"/>
    </xf>
    <xf numFmtId="0" fontId="0" fillId="14" borderId="10" xfId="0" applyFill="1" applyBorder="1" applyAlignment="1">
      <alignment horizontal="center" vertical="center"/>
    </xf>
    <xf numFmtId="0" fontId="3" fillId="13" borderId="4" xfId="0" quotePrefix="1" applyFont="1" applyFill="1" applyBorder="1" applyAlignment="1">
      <alignment horizontal="right" vertical="center" wrapText="1"/>
    </xf>
    <xf numFmtId="44" fontId="9" fillId="0" borderId="17" xfId="0" applyNumberFormat="1" applyFont="1" applyBorder="1" applyAlignment="1">
      <alignment vertical="center"/>
    </xf>
    <xf numFmtId="44" fontId="9" fillId="0" borderId="17" xfId="0" applyNumberFormat="1" applyFont="1" applyBorder="1" applyAlignment="1">
      <alignment vertical="center" wrapText="1"/>
    </xf>
    <xf numFmtId="168" fontId="9" fillId="0" borderId="41" xfId="0" applyNumberFormat="1" applyFont="1" applyBorder="1" applyAlignment="1">
      <alignment horizontal="center" vertical="center"/>
    </xf>
    <xf numFmtId="44" fontId="9" fillId="0" borderId="20" xfId="0" applyNumberFormat="1" applyFont="1" applyBorder="1" applyAlignment="1">
      <alignment vertical="center" wrapText="1"/>
    </xf>
    <xf numFmtId="0" fontId="11" fillId="2" borderId="36" xfId="0" applyFont="1" applyFill="1" applyBorder="1" applyAlignment="1">
      <alignment horizontal="center" vertical="center"/>
    </xf>
    <xf numFmtId="0" fontId="0" fillId="21" borderId="0" xfId="0" applyFill="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0" borderId="61" xfId="0" applyFont="1" applyBorder="1" applyAlignment="1">
      <alignment vertical="center" wrapText="1"/>
    </xf>
    <xf numFmtId="0" fontId="3" fillId="0" borderId="66" xfId="0" applyFont="1" applyBorder="1" applyAlignment="1">
      <alignment horizontal="center" vertical="center"/>
    </xf>
    <xf numFmtId="42" fontId="3" fillId="0" borderId="23" xfId="0" applyNumberFormat="1" applyFont="1" applyBorder="1" applyAlignment="1">
      <alignment horizontal="center" vertical="center"/>
    </xf>
    <xf numFmtId="0" fontId="11" fillId="0" borderId="22" xfId="0" applyFont="1" applyBorder="1" applyAlignment="1">
      <alignment horizontal="center" vertical="center" wrapText="1"/>
    </xf>
    <xf numFmtId="44" fontId="9" fillId="0" borderId="39" xfId="0" applyNumberFormat="1" applyFont="1" applyBorder="1" applyAlignment="1">
      <alignment horizontal="center" vertical="center"/>
    </xf>
    <xf numFmtId="44" fontId="11" fillId="3" borderId="40" xfId="0" applyNumberFormat="1" applyFont="1" applyFill="1" applyBorder="1" applyAlignment="1">
      <alignment horizontal="center" vertical="center"/>
    </xf>
    <xf numFmtId="44" fontId="11" fillId="3" borderId="3" xfId="0" applyNumberFormat="1" applyFont="1" applyFill="1" applyBorder="1" applyAlignment="1">
      <alignment horizontal="center" vertical="center"/>
    </xf>
    <xf numFmtId="44" fontId="9" fillId="0" borderId="15" xfId="0" applyNumberFormat="1" applyFont="1" applyBorder="1" applyAlignment="1">
      <alignment horizontal="center" vertical="center"/>
    </xf>
    <xf numFmtId="44" fontId="9" fillId="0" borderId="9" xfId="0" applyNumberFormat="1" applyFont="1" applyBorder="1" applyAlignment="1">
      <alignment horizontal="center" vertical="center"/>
    </xf>
    <xf numFmtId="44" fontId="9" fillId="0" borderId="26" xfId="0" applyNumberFormat="1" applyFont="1" applyBorder="1" applyAlignment="1">
      <alignment horizontal="center" vertical="center"/>
    </xf>
    <xf numFmtId="0" fontId="0" fillId="0" borderId="45" xfId="0" applyBorder="1" applyAlignment="1">
      <alignment horizontal="center" wrapText="1"/>
    </xf>
    <xf numFmtId="0" fontId="0" fillId="0" borderId="47" xfId="0" applyBorder="1" applyAlignment="1">
      <alignment horizontal="center" wrapText="1"/>
    </xf>
    <xf numFmtId="0" fontId="0" fillId="14" borderId="31" xfId="0" applyFill="1" applyBorder="1" applyAlignment="1">
      <alignment horizontal="center"/>
    </xf>
    <xf numFmtId="0" fontId="0" fillId="14" borderId="29" xfId="0" applyFill="1" applyBorder="1" applyAlignment="1">
      <alignment horizontal="center"/>
    </xf>
    <xf numFmtId="0" fontId="11" fillId="13" borderId="19" xfId="0" applyFont="1" applyFill="1" applyBorder="1" applyAlignment="1">
      <alignment horizontal="left" vertical="center"/>
    </xf>
    <xf numFmtId="1" fontId="3" fillId="3" borderId="24" xfId="0" applyNumberFormat="1" applyFont="1" applyFill="1" applyBorder="1" applyAlignment="1">
      <alignment horizontal="center" vertical="center"/>
    </xf>
    <xf numFmtId="0" fontId="3" fillId="3" borderId="24" xfId="0" applyFont="1" applyFill="1" applyBorder="1" applyAlignment="1">
      <alignment horizontal="center"/>
    </xf>
    <xf numFmtId="0" fontId="0" fillId="0" borderId="46" xfId="0" applyBorder="1" applyAlignment="1">
      <alignment horizontal="center" vertical="center"/>
    </xf>
    <xf numFmtId="0" fontId="3" fillId="3" borderId="50" xfId="0" applyFont="1" applyFill="1" applyBorder="1" applyAlignment="1">
      <alignment horizontal="center"/>
    </xf>
    <xf numFmtId="0" fontId="0" fillId="16" borderId="7" xfId="0" applyFill="1" applyBorder="1" applyAlignment="1">
      <alignment horizontal="center" vertical="center"/>
    </xf>
    <xf numFmtId="0" fontId="3" fillId="3" borderId="29" xfId="0" applyFont="1" applyFill="1" applyBorder="1" applyAlignment="1">
      <alignment horizontal="center"/>
    </xf>
    <xf numFmtId="0" fontId="0" fillId="16" borderId="9" xfId="0" applyFill="1" applyBorder="1" applyAlignment="1">
      <alignment horizontal="center" vertical="center"/>
    </xf>
    <xf numFmtId="0" fontId="3" fillId="3" borderId="13" xfId="0" applyFont="1" applyFill="1" applyBorder="1" applyAlignment="1">
      <alignment horizontal="center" vertical="center"/>
    </xf>
    <xf numFmtId="1" fontId="3" fillId="3" borderId="3" xfId="0" applyNumberFormat="1" applyFont="1" applyFill="1" applyBorder="1" applyAlignment="1">
      <alignment horizontal="center"/>
    </xf>
    <xf numFmtId="1" fontId="0" fillId="16" borderId="29" xfId="0" applyNumberFormat="1" applyFill="1" applyBorder="1" applyAlignment="1">
      <alignment horizontal="center"/>
    </xf>
    <xf numFmtId="0" fontId="0" fillId="16" borderId="24" xfId="0" applyFill="1" applyBorder="1" applyAlignment="1">
      <alignment horizontal="center"/>
    </xf>
    <xf numFmtId="180" fontId="0" fillId="0" borderId="0" xfId="0" applyNumberFormat="1" applyAlignment="1">
      <alignment vertical="center"/>
    </xf>
    <xf numFmtId="42" fontId="0" fillId="14" borderId="0" xfId="0" applyNumberFormat="1" applyFill="1" applyAlignment="1">
      <alignment vertical="center"/>
    </xf>
    <xf numFmtId="42" fontId="0" fillId="0" borderId="31" xfId="0" applyNumberFormat="1" applyBorder="1" applyAlignment="1">
      <alignment horizontal="center" vertical="center"/>
    </xf>
    <xf numFmtId="42" fontId="0" fillId="0" borderId="8" xfId="0" applyNumberFormat="1" applyBorder="1" applyAlignment="1">
      <alignment horizontal="center" vertical="center"/>
    </xf>
    <xf numFmtId="0" fontId="0" fillId="21" borderId="49" xfId="0" applyFill="1" applyBorder="1" applyAlignment="1">
      <alignment horizontal="center"/>
    </xf>
    <xf numFmtId="42" fontId="0" fillId="21" borderId="22" xfId="0" applyNumberFormat="1" applyFill="1" applyBorder="1" applyAlignment="1">
      <alignment horizontal="center"/>
    </xf>
    <xf numFmtId="42" fontId="0" fillId="21" borderId="50" xfId="0" applyNumberFormat="1" applyFill="1" applyBorder="1" applyAlignment="1">
      <alignment horizontal="center"/>
    </xf>
    <xf numFmtId="0" fontId="0" fillId="14" borderId="35" xfId="0" applyFill="1" applyBorder="1" applyAlignment="1">
      <alignment horizontal="center"/>
    </xf>
    <xf numFmtId="0" fontId="5" fillId="0" borderId="8" xfId="0" applyFont="1" applyBorder="1" applyAlignment="1">
      <alignment horizontal="center"/>
    </xf>
    <xf numFmtId="0" fontId="5" fillId="0" borderId="26" xfId="0" applyFont="1" applyBorder="1" applyAlignment="1">
      <alignment horizontal="center"/>
    </xf>
    <xf numFmtId="0" fontId="0" fillId="2" borderId="23" xfId="0" applyFill="1" applyBorder="1" applyAlignment="1">
      <alignment horizontal="center"/>
    </xf>
    <xf numFmtId="0" fontId="2" fillId="2" borderId="22" xfId="0" applyFont="1" applyFill="1" applyBorder="1"/>
    <xf numFmtId="0" fontId="0" fillId="0" borderId="45" xfId="0" applyBorder="1"/>
    <xf numFmtId="0" fontId="0" fillId="0" borderId="46" xfId="0" applyBorder="1"/>
    <xf numFmtId="42" fontId="0" fillId="0" borderId="34" xfId="0" applyNumberFormat="1" applyBorder="1" applyAlignment="1">
      <alignment horizontal="center"/>
    </xf>
    <xf numFmtId="42" fontId="0" fillId="0" borderId="35" xfId="0" applyNumberFormat="1" applyBorder="1" applyAlignment="1">
      <alignment horizontal="center"/>
    </xf>
    <xf numFmtId="0" fontId="3" fillId="13" borderId="3" xfId="0" applyFont="1" applyFill="1" applyBorder="1" applyAlignment="1">
      <alignment horizontal="right"/>
    </xf>
    <xf numFmtId="42" fontId="9" fillId="16" borderId="71" xfId="0" applyNumberFormat="1" applyFont="1" applyFill="1" applyBorder="1" applyAlignment="1">
      <alignment horizontal="center"/>
    </xf>
    <xf numFmtId="42" fontId="11" fillId="14" borderId="15" xfId="0" applyNumberFormat="1" applyFont="1" applyFill="1" applyBorder="1" applyAlignment="1">
      <alignment horizontal="center"/>
    </xf>
    <xf numFmtId="42" fontId="9" fillId="16" borderId="0" xfId="0" applyNumberFormat="1" applyFont="1" applyFill="1" applyAlignment="1">
      <alignment horizontal="center"/>
    </xf>
    <xf numFmtId="42" fontId="9" fillId="14" borderId="76" xfId="0" applyNumberFormat="1" applyFont="1" applyFill="1" applyBorder="1" applyAlignment="1">
      <alignment horizontal="center"/>
    </xf>
    <xf numFmtId="42" fontId="3" fillId="13" borderId="48" xfId="0" applyNumberFormat="1" applyFont="1" applyFill="1" applyBorder="1" applyAlignment="1">
      <alignment horizontal="center"/>
    </xf>
    <xf numFmtId="42" fontId="0" fillId="14" borderId="58" xfId="0" applyNumberFormat="1" applyFill="1" applyBorder="1" applyAlignment="1">
      <alignment horizontal="left"/>
    </xf>
    <xf numFmtId="42" fontId="0" fillId="14" borderId="32" xfId="0" applyNumberFormat="1" applyFill="1" applyBorder="1"/>
    <xf numFmtId="42" fontId="5" fillId="21" borderId="34" xfId="0" quotePrefix="1" applyNumberFormat="1" applyFont="1" applyFill="1" applyBorder="1" applyAlignment="1">
      <alignment horizontal="left"/>
    </xf>
    <xf numFmtId="42" fontId="10" fillId="21" borderId="34" xfId="0" applyNumberFormat="1" applyFont="1" applyFill="1" applyBorder="1" applyAlignment="1">
      <alignment horizontal="left"/>
    </xf>
    <xf numFmtId="42" fontId="5" fillId="21" borderId="35" xfId="0" quotePrefix="1" applyNumberFormat="1" applyFont="1" applyFill="1" applyBorder="1" applyAlignment="1">
      <alignment horizontal="left"/>
    </xf>
    <xf numFmtId="42" fontId="0" fillId="0" borderId="56" xfId="0" applyNumberFormat="1" applyBorder="1" applyAlignment="1">
      <alignment horizontal="center"/>
    </xf>
    <xf numFmtId="42" fontId="0" fillId="0" borderId="54" xfId="0" applyNumberFormat="1" applyBorder="1" applyAlignment="1">
      <alignment horizontal="center"/>
    </xf>
    <xf numFmtId="42" fontId="0" fillId="0" borderId="45" xfId="0" quotePrefix="1" applyNumberFormat="1" applyBorder="1" applyAlignment="1">
      <alignment horizontal="left"/>
    </xf>
    <xf numFmtId="42" fontId="0" fillId="0" borderId="46" xfId="0" quotePrefix="1" applyNumberFormat="1" applyBorder="1" applyAlignment="1">
      <alignment horizontal="left"/>
    </xf>
    <xf numFmtId="42" fontId="0" fillId="0" borderId="47" xfId="0" applyNumberFormat="1" applyBorder="1" applyAlignment="1">
      <alignment horizontal="center"/>
    </xf>
    <xf numFmtId="0" fontId="0" fillId="14" borderId="31" xfId="0" applyFill="1" applyBorder="1" applyAlignment="1">
      <alignment horizontal="left"/>
    </xf>
    <xf numFmtId="0" fontId="0" fillId="14" borderId="58" xfId="0" applyFill="1" applyBorder="1" applyAlignment="1">
      <alignment horizontal="left"/>
    </xf>
    <xf numFmtId="0" fontId="0" fillId="14" borderId="32" xfId="0" applyFill="1" applyBorder="1" applyAlignment="1">
      <alignment horizontal="left"/>
    </xf>
    <xf numFmtId="42" fontId="0" fillId="14" borderId="69" xfId="0" applyNumberFormat="1" applyFill="1" applyBorder="1"/>
    <xf numFmtId="42" fontId="0" fillId="0" borderId="43" xfId="0" applyNumberFormat="1" applyBorder="1" applyAlignment="1">
      <alignment horizontal="center"/>
    </xf>
    <xf numFmtId="42" fontId="5" fillId="21" borderId="43" xfId="0" quotePrefix="1" applyNumberFormat="1" applyFont="1" applyFill="1" applyBorder="1" applyAlignment="1">
      <alignment horizontal="left"/>
    </xf>
    <xf numFmtId="0" fontId="3" fillId="2" borderId="28" xfId="0" applyFont="1" applyFill="1" applyBorder="1" applyAlignment="1">
      <alignment horizontal="left"/>
    </xf>
    <xf numFmtId="42" fontId="90" fillId="0" borderId="45" xfId="0" applyNumberFormat="1" applyFont="1" applyBorder="1" applyAlignment="1">
      <alignment horizontal="left"/>
    </xf>
    <xf numFmtId="42" fontId="90" fillId="0" borderId="46" xfId="0" applyNumberFormat="1" applyFont="1" applyBorder="1" applyAlignment="1">
      <alignment horizontal="left"/>
    </xf>
    <xf numFmtId="42" fontId="90" fillId="0" borderId="47" xfId="0" applyNumberFormat="1" applyFont="1" applyBorder="1" applyAlignment="1">
      <alignment horizontal="left"/>
    </xf>
    <xf numFmtId="44" fontId="40" fillId="3" borderId="24" xfId="0" applyNumberFormat="1" applyFont="1" applyFill="1" applyBorder="1" applyAlignment="1">
      <alignment horizontal="center"/>
    </xf>
    <xf numFmtId="42" fontId="90" fillId="21" borderId="47" xfId="0" applyNumberFormat="1" applyFont="1" applyFill="1" applyBorder="1" applyAlignment="1">
      <alignment horizontal="left"/>
    </xf>
    <xf numFmtId="42" fontId="90" fillId="0" borderId="45" xfId="0" quotePrefix="1" applyNumberFormat="1" applyFont="1" applyBorder="1" applyAlignment="1">
      <alignment horizontal="left"/>
    </xf>
    <xf numFmtId="0" fontId="90" fillId="0" borderId="0" xfId="0" applyFont="1" applyAlignment="1">
      <alignment horizontal="left"/>
    </xf>
    <xf numFmtId="42" fontId="9" fillId="10" borderId="45" xfId="0" applyNumberFormat="1" applyFont="1" applyFill="1" applyBorder="1" applyAlignment="1">
      <alignment horizontal="center"/>
    </xf>
    <xf numFmtId="42" fontId="9" fillId="10" borderId="46" xfId="0" applyNumberFormat="1" applyFont="1" applyFill="1" applyBorder="1" applyAlignment="1">
      <alignment horizontal="center"/>
    </xf>
    <xf numFmtId="42" fontId="9" fillId="10" borderId="76" xfId="0" applyNumberFormat="1" applyFont="1" applyFill="1" applyBorder="1" applyAlignment="1">
      <alignment horizontal="center"/>
    </xf>
    <xf numFmtId="42" fontId="9" fillId="10" borderId="9" xfId="0" applyNumberFormat="1" applyFont="1" applyFill="1" applyBorder="1" applyAlignment="1">
      <alignment horizontal="center"/>
    </xf>
    <xf numFmtId="42" fontId="9" fillId="10" borderId="15" xfId="0" applyNumberFormat="1" applyFont="1" applyFill="1" applyBorder="1" applyAlignment="1">
      <alignment horizontal="center"/>
    </xf>
    <xf numFmtId="0" fontId="0" fillId="14" borderId="34" xfId="0" applyFill="1" applyBorder="1"/>
    <xf numFmtId="42" fontId="32" fillId="16" borderId="15" xfId="0" applyNumberFormat="1" applyFont="1" applyFill="1" applyBorder="1" applyAlignment="1">
      <alignment horizontal="center" vertical="center"/>
    </xf>
    <xf numFmtId="0" fontId="0" fillId="0" borderId="28" xfId="0" applyBorder="1" applyAlignment="1">
      <alignment horizontal="center" vertical="center"/>
    </xf>
    <xf numFmtId="0" fontId="3" fillId="2" borderId="40" xfId="0" applyFont="1" applyFill="1" applyBorder="1" applyAlignment="1">
      <alignment horizontal="center"/>
    </xf>
    <xf numFmtId="0" fontId="0" fillId="0" borderId="60" xfId="0" quotePrefix="1" applyBorder="1" applyAlignment="1">
      <alignment horizontal="center" vertical="center" wrapText="1"/>
    </xf>
    <xf numFmtId="42" fontId="0" fillId="14" borderId="9" xfId="0" applyNumberFormat="1" applyFill="1" applyBorder="1" applyAlignment="1">
      <alignment horizontal="left"/>
    </xf>
    <xf numFmtId="42" fontId="0" fillId="14" borderId="26" xfId="0" applyNumberFormat="1" applyFill="1" applyBorder="1" applyAlignment="1">
      <alignment horizontal="left"/>
    </xf>
    <xf numFmtId="42" fontId="0" fillId="14" borderId="15" xfId="0" applyNumberFormat="1" applyFill="1" applyBorder="1" applyAlignment="1">
      <alignment horizontal="left"/>
    </xf>
    <xf numFmtId="42" fontId="32" fillId="0" borderId="3" xfId="0" applyNumberFormat="1" applyFont="1" applyBorder="1" applyAlignment="1">
      <alignment horizontal="center" vertical="center"/>
    </xf>
    <xf numFmtId="42" fontId="32" fillId="21" borderId="23" xfId="0" applyNumberFormat="1" applyFont="1" applyFill="1" applyBorder="1" applyAlignment="1">
      <alignment horizontal="center" vertical="center"/>
    </xf>
    <xf numFmtId="42" fontId="2" fillId="21" borderId="14" xfId="0" applyNumberFormat="1" applyFont="1" applyFill="1" applyBorder="1" applyAlignment="1">
      <alignment horizontal="left" vertical="center"/>
    </xf>
    <xf numFmtId="42" fontId="11" fillId="0" borderId="3" xfId="0" applyNumberFormat="1" applyFont="1" applyBorder="1" applyAlignment="1">
      <alignment horizontal="center" vertical="center"/>
    </xf>
    <xf numFmtId="10" fontId="11" fillId="14" borderId="14" xfId="0" applyNumberFormat="1" applyFont="1" applyFill="1" applyBorder="1" applyAlignment="1">
      <alignment horizontal="center" vertical="center"/>
    </xf>
    <xf numFmtId="42" fontId="11" fillId="21" borderId="23" xfId="0" applyNumberFormat="1" applyFont="1" applyFill="1" applyBorder="1" applyAlignment="1">
      <alignment horizontal="center" vertical="center"/>
    </xf>
    <xf numFmtId="42" fontId="39" fillId="19" borderId="3" xfId="0" applyNumberFormat="1" applyFont="1" applyFill="1" applyBorder="1" applyAlignment="1">
      <alignment horizontal="center" vertical="center"/>
    </xf>
    <xf numFmtId="0" fontId="3" fillId="0" borderId="0" xfId="0" applyFont="1" applyAlignment="1">
      <alignment horizontal="center" vertical="top" wrapText="1"/>
    </xf>
    <xf numFmtId="42" fontId="11" fillId="14" borderId="23" xfId="0" applyNumberFormat="1" applyFont="1" applyFill="1" applyBorder="1" applyAlignment="1">
      <alignment horizontal="left" vertical="center"/>
    </xf>
    <xf numFmtId="42" fontId="11" fillId="4" borderId="3" xfId="0" applyNumberFormat="1" applyFont="1" applyFill="1" applyBorder="1" applyAlignment="1">
      <alignment horizontal="left" vertical="center"/>
    </xf>
    <xf numFmtId="42" fontId="3" fillId="7" borderId="3" xfId="0" applyNumberFormat="1" applyFont="1" applyFill="1" applyBorder="1" applyAlignment="1">
      <alignment horizontal="center" vertical="center"/>
    </xf>
    <xf numFmtId="0" fontId="3" fillId="4" borderId="3" xfId="0" applyFont="1" applyFill="1" applyBorder="1"/>
    <xf numFmtId="168" fontId="25" fillId="21" borderId="10" xfId="0" applyNumberFormat="1" applyFont="1" applyFill="1" applyBorder="1" applyAlignment="1">
      <alignment horizontal="center" vertical="center"/>
    </xf>
    <xf numFmtId="0" fontId="0" fillId="21" borderId="9" xfId="0" applyFill="1" applyBorder="1" applyAlignment="1">
      <alignment vertical="center"/>
    </xf>
    <xf numFmtId="0" fontId="9" fillId="21" borderId="9" xfId="0" applyFont="1" applyFill="1" applyBorder="1" applyAlignment="1">
      <alignment vertical="center" wrapText="1"/>
    </xf>
    <xf numFmtId="0" fontId="9" fillId="21" borderId="9" xfId="0" quotePrefix="1" applyFont="1" applyFill="1" applyBorder="1" applyAlignment="1">
      <alignment vertical="center" wrapText="1"/>
    </xf>
    <xf numFmtId="0" fontId="9" fillId="0" borderId="10" xfId="0" quotePrefix="1" applyFont="1" applyBorder="1" applyAlignment="1">
      <alignment vertical="center" wrapText="1"/>
    </xf>
    <xf numFmtId="0" fontId="9" fillId="0" borderId="9" xfId="0" quotePrefix="1" applyFont="1" applyBorder="1" applyAlignment="1">
      <alignment vertical="center" wrapText="1"/>
    </xf>
    <xf numFmtId="0" fontId="9" fillId="0" borderId="24" xfId="0" quotePrefix="1" applyFont="1" applyBorder="1" applyAlignment="1">
      <alignment vertical="center" wrapText="1"/>
    </xf>
    <xf numFmtId="44" fontId="3" fillId="2" borderId="70" xfId="0" applyNumberFormat="1" applyFont="1" applyFill="1" applyBorder="1" applyAlignment="1">
      <alignment horizontal="center" vertical="center"/>
    </xf>
    <xf numFmtId="168" fontId="9" fillId="0" borderId="78" xfId="0" applyNumberFormat="1" applyFont="1" applyBorder="1" applyAlignment="1">
      <alignment horizontal="center" vertical="center"/>
    </xf>
    <xf numFmtId="10" fontId="9" fillId="0" borderId="9" xfId="0" applyNumberFormat="1" applyFont="1" applyBorder="1" applyAlignment="1">
      <alignment horizontal="center" vertical="center"/>
    </xf>
    <xf numFmtId="168" fontId="9" fillId="14" borderId="9" xfId="0" applyNumberFormat="1" applyFont="1" applyFill="1" applyBorder="1" applyAlignment="1">
      <alignment horizontal="center" vertical="center"/>
    </xf>
    <xf numFmtId="168" fontId="9" fillId="21" borderId="9" xfId="0" applyNumberFormat="1" applyFont="1" applyFill="1" applyBorder="1" applyAlignment="1">
      <alignment horizontal="center" vertical="center"/>
    </xf>
    <xf numFmtId="6" fontId="9" fillId="21" borderId="24" xfId="0" applyNumberFormat="1" applyFont="1" applyFill="1" applyBorder="1" applyAlignment="1">
      <alignment horizontal="center" vertical="center"/>
    </xf>
    <xf numFmtId="42" fontId="0" fillId="0" borderId="1" xfId="0" applyNumberFormat="1" applyBorder="1"/>
    <xf numFmtId="0" fontId="0" fillId="0" borderId="33" xfId="0" applyBorder="1"/>
    <xf numFmtId="0" fontId="0" fillId="0" borderId="34" xfId="0" applyBorder="1"/>
    <xf numFmtId="42" fontId="0" fillId="0" borderId="13" xfId="0" applyNumberFormat="1" applyBorder="1"/>
    <xf numFmtId="0" fontId="0" fillId="0" borderId="35" xfId="0" applyBorder="1"/>
    <xf numFmtId="42" fontId="0" fillId="0" borderId="20" xfId="0" applyNumberFormat="1" applyBorder="1"/>
    <xf numFmtId="42" fontId="0" fillId="0" borderId="21" xfId="0" applyNumberFormat="1" applyBorder="1"/>
    <xf numFmtId="0" fontId="0" fillId="0" borderId="43" xfId="0" applyBorder="1"/>
    <xf numFmtId="42" fontId="0" fillId="0" borderId="17" xfId="0" applyNumberFormat="1" applyBorder="1"/>
    <xf numFmtId="42" fontId="0" fillId="0" borderId="18" xfId="0" applyNumberFormat="1" applyBorder="1"/>
    <xf numFmtId="0" fontId="3" fillId="12" borderId="9" xfId="0" quotePrefix="1" applyFont="1" applyFill="1" applyBorder="1" applyAlignment="1">
      <alignment horizontal="left" vertical="center" wrapText="1"/>
    </xf>
    <xf numFmtId="0" fontId="3" fillId="12" borderId="26" xfId="0" quotePrefix="1"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14" borderId="37" xfId="0" applyFill="1" applyBorder="1" applyAlignment="1">
      <alignment horizontal="left"/>
    </xf>
    <xf numFmtId="0" fontId="0" fillId="14" borderId="46" xfId="0" applyFill="1" applyBorder="1" applyAlignment="1">
      <alignment horizontal="center"/>
    </xf>
    <xf numFmtId="0" fontId="0" fillId="10" borderId="8" xfId="0" applyFill="1" applyBorder="1" applyAlignment="1">
      <alignment horizontal="center"/>
    </xf>
    <xf numFmtId="0" fontId="0" fillId="10" borderId="56" xfId="0" applyFill="1" applyBorder="1" applyAlignment="1">
      <alignment horizontal="center"/>
    </xf>
    <xf numFmtId="0" fontId="0" fillId="10" borderId="9" xfId="0" applyFill="1" applyBorder="1" applyAlignment="1">
      <alignment horizontal="center"/>
    </xf>
    <xf numFmtId="0" fontId="0" fillId="10" borderId="10" xfId="0" applyFill="1" applyBorder="1" applyAlignment="1">
      <alignment horizontal="center"/>
    </xf>
    <xf numFmtId="0" fontId="3" fillId="0" borderId="56" xfId="0" applyFont="1" applyBorder="1" applyAlignment="1">
      <alignment horizontal="right"/>
    </xf>
    <xf numFmtId="0" fontId="3" fillId="0" borderId="54" xfId="0" applyFont="1" applyBorder="1" applyAlignment="1">
      <alignment horizontal="right"/>
    </xf>
    <xf numFmtId="0" fontId="3" fillId="0" borderId="55" xfId="0" applyFont="1" applyBorder="1" applyAlignment="1">
      <alignment horizontal="right"/>
    </xf>
    <xf numFmtId="44" fontId="3" fillId="2" borderId="22" xfId="0" applyNumberFormat="1" applyFont="1" applyFill="1" applyBorder="1" applyAlignment="1">
      <alignment horizontal="center" vertical="center"/>
    </xf>
    <xf numFmtId="164" fontId="3" fillId="3" borderId="3" xfId="0" applyNumberFormat="1" applyFont="1" applyFill="1" applyBorder="1"/>
    <xf numFmtId="0" fontId="3" fillId="2" borderId="3" xfId="0" applyFont="1" applyFill="1" applyBorder="1" applyAlignment="1">
      <alignment horizontal="centerContinuous" vertical="top"/>
    </xf>
    <xf numFmtId="0" fontId="0" fillId="14" borderId="38" xfId="0" applyFill="1" applyBorder="1" applyAlignment="1">
      <alignment horizontal="left"/>
    </xf>
    <xf numFmtId="0" fontId="0" fillId="14" borderId="45" xfId="0" applyFill="1" applyBorder="1" applyAlignment="1">
      <alignment horizontal="center"/>
    </xf>
    <xf numFmtId="0" fontId="0" fillId="14" borderId="35" xfId="0" applyFill="1" applyBorder="1" applyAlignment="1">
      <alignment horizontal="center" vertical="center"/>
    </xf>
    <xf numFmtId="0" fontId="0" fillId="14" borderId="39" xfId="0" applyFill="1" applyBorder="1" applyAlignment="1">
      <alignment horizontal="left"/>
    </xf>
    <xf numFmtId="0" fontId="0" fillId="10" borderId="54" xfId="0" applyFill="1" applyBorder="1" applyAlignment="1">
      <alignment horizontal="center"/>
    </xf>
    <xf numFmtId="0" fontId="0" fillId="10" borderId="57" xfId="0" applyFill="1" applyBorder="1" applyAlignment="1">
      <alignment horizontal="center"/>
    </xf>
    <xf numFmtId="0" fontId="3" fillId="2" borderId="36" xfId="0" applyFont="1" applyFill="1" applyBorder="1" applyAlignment="1">
      <alignment horizontal="left"/>
    </xf>
    <xf numFmtId="42" fontId="0" fillId="0" borderId="12" xfId="0" applyNumberFormat="1" applyBorder="1"/>
    <xf numFmtId="0" fontId="3" fillId="22" borderId="48" xfId="0" applyFont="1" applyFill="1" applyBorder="1" applyAlignment="1">
      <alignment horizontal="right"/>
    </xf>
    <xf numFmtId="0" fontId="3" fillId="22" borderId="19" xfId="0" applyFont="1" applyFill="1" applyBorder="1" applyAlignment="1">
      <alignment horizontal="center"/>
    </xf>
    <xf numFmtId="164" fontId="3" fillId="22" borderId="3" xfId="0" applyNumberFormat="1" applyFont="1" applyFill="1" applyBorder="1"/>
    <xf numFmtId="0" fontId="3" fillId="0" borderId="0" xfId="0" applyFont="1" applyAlignment="1">
      <alignment horizontal="right"/>
    </xf>
    <xf numFmtId="164" fontId="3" fillId="3" borderId="48" xfId="0" applyNumberFormat="1" applyFont="1" applyFill="1" applyBorder="1"/>
    <xf numFmtId="164" fontId="3" fillId="3" borderId="28" xfId="0" applyNumberFormat="1" applyFont="1" applyFill="1" applyBorder="1"/>
    <xf numFmtId="164" fontId="0" fillId="14" borderId="8" xfId="0" applyNumberFormat="1" applyFill="1" applyBorder="1"/>
    <xf numFmtId="164" fontId="0" fillId="14" borderId="9" xfId="0" applyNumberFormat="1" applyFill="1" applyBorder="1"/>
    <xf numFmtId="0" fontId="0" fillId="14" borderId="15" xfId="0" applyFill="1" applyBorder="1"/>
    <xf numFmtId="0" fontId="0" fillId="14" borderId="10" xfId="0" applyFill="1" applyBorder="1"/>
    <xf numFmtId="0" fontId="3" fillId="22" borderId="51" xfId="0" applyFont="1" applyFill="1" applyBorder="1" applyAlignment="1">
      <alignment horizontal="right"/>
    </xf>
    <xf numFmtId="10" fontId="0" fillId="0" borderId="17" xfId="0" applyNumberFormat="1" applyBorder="1" applyAlignment="1">
      <alignment horizontal="center"/>
    </xf>
    <xf numFmtId="164" fontId="0" fillId="14" borderId="10" xfId="0" applyNumberFormat="1" applyFill="1" applyBorder="1"/>
    <xf numFmtId="164" fontId="0" fillId="14" borderId="46" xfId="0" applyNumberFormat="1" applyFill="1" applyBorder="1"/>
    <xf numFmtId="164" fontId="62" fillId="14" borderId="26" xfId="0" applyNumberFormat="1" applyFont="1" applyFill="1" applyBorder="1"/>
    <xf numFmtId="164" fontId="62" fillId="14" borderId="47" xfId="0" applyNumberFormat="1" applyFont="1" applyFill="1" applyBorder="1"/>
    <xf numFmtId="181" fontId="0" fillId="14" borderId="10" xfId="0" applyNumberFormat="1" applyFill="1" applyBorder="1"/>
    <xf numFmtId="181" fontId="0" fillId="14" borderId="76" xfId="0" applyNumberFormat="1" applyFill="1" applyBorder="1"/>
    <xf numFmtId="5" fontId="0" fillId="14" borderId="15" xfId="0" applyNumberFormat="1" applyFill="1" applyBorder="1" applyAlignment="1">
      <alignment horizontal="right"/>
    </xf>
    <xf numFmtId="5" fontId="0" fillId="14" borderId="10" xfId="0" applyNumberFormat="1" applyFill="1" applyBorder="1" applyAlignment="1">
      <alignment horizontal="right"/>
    </xf>
    <xf numFmtId="164" fontId="0" fillId="14" borderId="23" xfId="0" applyNumberFormat="1" applyFill="1" applyBorder="1"/>
    <xf numFmtId="164" fontId="0" fillId="14" borderId="23" xfId="0" applyNumberFormat="1" applyFill="1" applyBorder="1" applyAlignment="1">
      <alignment horizontal="right"/>
    </xf>
    <xf numFmtId="10" fontId="0" fillId="16" borderId="20" xfId="0" applyNumberFormat="1" applyFill="1" applyBorder="1"/>
    <xf numFmtId="44" fontId="3" fillId="2" borderId="48" xfId="0" applyNumberFormat="1" applyFont="1" applyFill="1" applyBorder="1" applyAlignment="1">
      <alignment horizontal="centerContinuous" vertical="center"/>
    </xf>
    <xf numFmtId="44" fontId="3" fillId="2" borderId="19" xfId="0" applyNumberFormat="1" applyFont="1" applyFill="1" applyBorder="1" applyAlignment="1">
      <alignment horizontal="centerContinuous" vertical="center"/>
    </xf>
    <xf numFmtId="42" fontId="0" fillId="0" borderId="23" xfId="0" applyNumberFormat="1" applyBorder="1"/>
    <xf numFmtId="0" fontId="3" fillId="2" borderId="48" xfId="0" applyFont="1" applyFill="1" applyBorder="1"/>
    <xf numFmtId="42" fontId="0" fillId="14" borderId="19" xfId="0" applyNumberFormat="1" applyFill="1" applyBorder="1" applyAlignment="1">
      <alignment vertical="center"/>
    </xf>
    <xf numFmtId="42" fontId="3" fillId="22" borderId="14" xfId="0" applyNumberFormat="1" applyFont="1" applyFill="1" applyBorder="1" applyAlignment="1">
      <alignment vertical="center"/>
    </xf>
    <xf numFmtId="174" fontId="0" fillId="14" borderId="26" xfId="0" applyNumberFormat="1" applyFill="1" applyBorder="1"/>
    <xf numFmtId="42" fontId="32" fillId="16" borderId="24" xfId="0" applyNumberFormat="1" applyFont="1" applyFill="1" applyBorder="1" applyAlignment="1">
      <alignment horizontal="center" vertical="center"/>
    </xf>
    <xf numFmtId="42" fontId="32" fillId="16" borderId="0" xfId="0" applyNumberFormat="1" applyFont="1" applyFill="1" applyAlignment="1">
      <alignment horizontal="center" vertical="center"/>
    </xf>
    <xf numFmtId="42" fontId="11" fillId="14" borderId="3" xfId="0" applyNumberFormat="1" applyFont="1" applyFill="1" applyBorder="1" applyAlignment="1">
      <alignment horizontal="center" vertical="center"/>
    </xf>
    <xf numFmtId="42" fontId="59" fillId="0" borderId="52" xfId="0" quotePrefix="1" applyNumberFormat="1" applyFont="1" applyBorder="1" applyAlignment="1">
      <alignment horizontal="center" vertical="center"/>
    </xf>
    <xf numFmtId="42" fontId="32" fillId="16" borderId="56" xfId="0" applyNumberFormat="1" applyFont="1" applyFill="1" applyBorder="1" applyAlignment="1">
      <alignment horizontal="center" vertical="center"/>
    </xf>
    <xf numFmtId="42" fontId="32" fillId="16" borderId="57" xfId="0" applyNumberFormat="1" applyFont="1" applyFill="1" applyBorder="1" applyAlignment="1">
      <alignment horizontal="center" vertical="center"/>
    </xf>
    <xf numFmtId="42" fontId="3" fillId="12" borderId="69" xfId="0" applyNumberFormat="1" applyFont="1" applyFill="1" applyBorder="1" applyAlignment="1">
      <alignment horizontal="center" vertical="center"/>
    </xf>
    <xf numFmtId="42" fontId="3" fillId="12" borderId="32" xfId="0" applyNumberFormat="1" applyFont="1" applyFill="1" applyBorder="1" applyAlignment="1">
      <alignment horizontal="center" vertical="center"/>
    </xf>
    <xf numFmtId="42" fontId="3" fillId="12" borderId="58" xfId="0" applyNumberFormat="1" applyFont="1" applyFill="1" applyBorder="1" applyAlignment="1">
      <alignment horizontal="center" vertical="center"/>
    </xf>
    <xf numFmtId="42" fontId="59" fillId="0" borderId="72" xfId="0" quotePrefix="1" applyNumberFormat="1" applyFont="1" applyBorder="1" applyAlignment="1">
      <alignment horizontal="center" vertical="center"/>
    </xf>
    <xf numFmtId="42" fontId="3" fillId="13" borderId="28" xfId="0" applyNumberFormat="1" applyFont="1" applyFill="1" applyBorder="1" applyAlignment="1">
      <alignment horizontal="center" vertical="center"/>
    </xf>
    <xf numFmtId="42" fontId="3" fillId="12" borderId="53" xfId="0" applyNumberFormat="1" applyFont="1" applyFill="1" applyBorder="1" applyAlignment="1">
      <alignment horizontal="center" vertical="center"/>
    </xf>
    <xf numFmtId="42" fontId="60" fillId="0" borderId="55" xfId="0" quotePrefix="1" applyNumberFormat="1" applyFont="1" applyBorder="1" applyAlignment="1">
      <alignment horizontal="center" vertical="center"/>
    </xf>
    <xf numFmtId="42" fontId="59" fillId="21" borderId="72" xfId="0" applyNumberFormat="1" applyFont="1" applyFill="1" applyBorder="1" applyAlignment="1">
      <alignment horizontal="center" vertical="center"/>
    </xf>
    <xf numFmtId="42" fontId="10" fillId="16" borderId="57" xfId="0" applyNumberFormat="1" applyFont="1" applyFill="1" applyBorder="1" applyAlignment="1">
      <alignment horizontal="center" vertical="center"/>
    </xf>
    <xf numFmtId="42" fontId="2" fillId="14" borderId="54" xfId="0" applyNumberFormat="1" applyFont="1" applyFill="1" applyBorder="1" applyAlignment="1">
      <alignment horizontal="center" vertical="center"/>
    </xf>
    <xf numFmtId="42" fontId="3" fillId="0" borderId="69" xfId="0" applyNumberFormat="1" applyFont="1" applyBorder="1" applyAlignment="1">
      <alignment horizontal="center" vertical="center"/>
    </xf>
    <xf numFmtId="42" fontId="3" fillId="12" borderId="72" xfId="0" applyNumberFormat="1" applyFont="1" applyFill="1" applyBorder="1" applyAlignment="1">
      <alignment horizontal="center" vertical="center"/>
    </xf>
    <xf numFmtId="42" fontId="2" fillId="13" borderId="28" xfId="0" applyNumberFormat="1" applyFont="1" applyFill="1" applyBorder="1" applyAlignment="1">
      <alignment horizontal="center" vertical="center"/>
    </xf>
    <xf numFmtId="42" fontId="3" fillId="0" borderId="58" xfId="0" applyNumberFormat="1" applyFont="1" applyBorder="1" applyAlignment="1">
      <alignment horizontal="center" vertical="center"/>
    </xf>
    <xf numFmtId="42" fontId="3" fillId="0" borderId="72" xfId="0" applyNumberFormat="1" applyFont="1" applyBorder="1" applyAlignment="1">
      <alignment horizontal="center" vertical="center"/>
    </xf>
    <xf numFmtId="42" fontId="3" fillId="12" borderId="50" xfId="0" applyNumberFormat="1" applyFont="1" applyFill="1" applyBorder="1" applyAlignment="1">
      <alignment horizontal="center" vertical="center"/>
    </xf>
    <xf numFmtId="42" fontId="3" fillId="12" borderId="31" xfId="0" applyNumberFormat="1" applyFont="1" applyFill="1" applyBorder="1" applyAlignment="1">
      <alignment horizontal="center" vertical="center"/>
    </xf>
    <xf numFmtId="42" fontId="3" fillId="14" borderId="32" xfId="0" applyNumberFormat="1" applyFont="1" applyFill="1" applyBorder="1" applyAlignment="1">
      <alignment horizontal="center" vertical="center"/>
    </xf>
    <xf numFmtId="42" fontId="11" fillId="0" borderId="58" xfId="0" applyNumberFormat="1" applyFont="1" applyBorder="1" applyAlignment="1">
      <alignment horizontal="center" vertical="center"/>
    </xf>
    <xf numFmtId="42" fontId="2" fillId="14" borderId="58" xfId="0" applyNumberFormat="1" applyFont="1" applyFill="1" applyBorder="1" applyAlignment="1">
      <alignment horizontal="center" vertical="center"/>
    </xf>
    <xf numFmtId="42" fontId="3" fillId="12" borderId="76" xfId="0" applyNumberFormat="1" applyFont="1" applyFill="1" applyBorder="1" applyAlignment="1">
      <alignment horizontal="center" vertical="center"/>
    </xf>
    <xf numFmtId="42" fontId="2" fillId="3" borderId="50" xfId="0" applyNumberFormat="1" applyFont="1" applyFill="1" applyBorder="1" applyAlignment="1">
      <alignment horizontal="center" vertical="center"/>
    </xf>
    <xf numFmtId="42" fontId="3" fillId="3" borderId="49" xfId="0" applyNumberFormat="1" applyFont="1" applyFill="1" applyBorder="1" applyAlignment="1">
      <alignment horizontal="center" vertical="center"/>
    </xf>
    <xf numFmtId="42" fontId="11" fillId="16" borderId="9" xfId="0" applyNumberFormat="1" applyFont="1" applyFill="1" applyBorder="1" applyAlignment="1">
      <alignment horizontal="center" vertical="center"/>
    </xf>
    <xf numFmtId="42" fontId="3" fillId="16" borderId="9"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32" fillId="16" borderId="55" xfId="0" applyNumberFormat="1" applyFont="1" applyFill="1" applyBorder="1" applyAlignment="1">
      <alignment horizontal="center" vertical="center"/>
    </xf>
    <xf numFmtId="0" fontId="0" fillId="6" borderId="29" xfId="0" applyFill="1" applyBorder="1" applyAlignment="1">
      <alignment horizontal="centerContinuous" vertical="center"/>
    </xf>
    <xf numFmtId="0" fontId="3" fillId="0" borderId="44" xfId="0" applyFont="1" applyBorder="1" applyAlignment="1">
      <alignment horizontal="center" vertical="center"/>
    </xf>
    <xf numFmtId="0" fontId="40" fillId="0" borderId="0" xfId="0" applyFont="1" applyAlignment="1">
      <alignment horizontal="right" vertical="center" wrapText="1"/>
    </xf>
    <xf numFmtId="0" fontId="40" fillId="14" borderId="17" xfId="0" applyFont="1" applyFill="1" applyBorder="1" applyAlignment="1">
      <alignment horizontal="right" vertical="center" wrapText="1"/>
    </xf>
    <xf numFmtId="0" fontId="3" fillId="6" borderId="48" xfId="0" applyFont="1" applyFill="1" applyBorder="1" applyAlignment="1">
      <alignment horizontal="centerContinuous" vertical="center"/>
    </xf>
    <xf numFmtId="0" fontId="7" fillId="6" borderId="19" xfId="0" applyFont="1" applyFill="1" applyBorder="1" applyAlignment="1">
      <alignment horizontal="centerContinuous" vertical="center"/>
    </xf>
    <xf numFmtId="0" fontId="25" fillId="6" borderId="52" xfId="0" applyFont="1" applyFill="1" applyBorder="1" applyAlignment="1">
      <alignment horizontal="left" vertical="center" wrapText="1"/>
    </xf>
    <xf numFmtId="0" fontId="23" fillId="19" borderId="28" xfId="0" applyFont="1" applyFill="1" applyBorder="1" applyAlignment="1">
      <alignment horizontal="left" vertical="center" wrapText="1"/>
    </xf>
    <xf numFmtId="42" fontId="32" fillId="16" borderId="14" xfId="0" applyNumberFormat="1" applyFont="1" applyFill="1" applyBorder="1" applyAlignment="1">
      <alignment horizontal="center" vertical="center"/>
    </xf>
    <xf numFmtId="0" fontId="9" fillId="0" borderId="8" xfId="0" applyFont="1" applyBorder="1" applyAlignment="1">
      <alignment horizontal="left" vertical="center" wrapText="1"/>
    </xf>
    <xf numFmtId="0" fontId="0" fillId="0" borderId="31" xfId="0" applyBorder="1" applyAlignment="1">
      <alignment horizontal="center" vertical="center"/>
    </xf>
    <xf numFmtId="0" fontId="0" fillId="0" borderId="29" xfId="0" applyBorder="1" applyAlignment="1">
      <alignment horizontal="center" vertical="center"/>
    </xf>
    <xf numFmtId="0" fontId="0" fillId="21" borderId="50" xfId="0" applyFill="1" applyBorder="1" applyAlignment="1">
      <alignment horizontal="center" vertical="center"/>
    </xf>
    <xf numFmtId="0" fontId="9" fillId="21" borderId="26" xfId="0" applyFont="1" applyFill="1" applyBorder="1" applyAlignment="1">
      <alignment horizontal="left" vertical="center" wrapText="1"/>
    </xf>
    <xf numFmtId="0" fontId="5" fillId="0" borderId="46" xfId="0" applyFont="1" applyBorder="1" applyAlignment="1">
      <alignment horizontal="left" vertical="center" wrapText="1"/>
    </xf>
    <xf numFmtId="0" fontId="27" fillId="0" borderId="2" xfId="0" quotePrefix="1" applyFont="1" applyBorder="1" applyAlignment="1">
      <alignment vertical="center" wrapText="1"/>
    </xf>
    <xf numFmtId="0" fontId="35" fillId="19" borderId="48" xfId="0" applyFont="1" applyFill="1" applyBorder="1" applyAlignment="1">
      <alignment horizontal="center" vertical="center"/>
    </xf>
    <xf numFmtId="0" fontId="35" fillId="19" borderId="19" xfId="0" applyFont="1" applyFill="1" applyBorder="1" applyAlignment="1">
      <alignment horizontal="center" vertical="center"/>
    </xf>
    <xf numFmtId="42" fontId="35" fillId="19" borderId="19" xfId="0" applyNumberFormat="1" applyFont="1" applyFill="1" applyBorder="1" applyAlignment="1">
      <alignment horizontal="center" vertical="center"/>
    </xf>
    <xf numFmtId="42" fontId="35" fillId="19" borderId="28" xfId="0" applyNumberFormat="1" applyFont="1" applyFill="1" applyBorder="1" applyAlignment="1">
      <alignment horizontal="center" vertical="center"/>
    </xf>
    <xf numFmtId="0" fontId="0" fillId="5" borderId="36" xfId="0" applyFill="1" applyBorder="1"/>
    <xf numFmtId="164" fontId="3" fillId="5" borderId="3" xfId="0" applyNumberFormat="1" applyFont="1" applyFill="1" applyBorder="1"/>
    <xf numFmtId="0" fontId="0" fillId="14" borderId="74" xfId="0" applyFill="1" applyBorder="1"/>
    <xf numFmtId="164" fontId="0" fillId="14" borderId="14" xfId="0" applyNumberFormat="1" applyFill="1" applyBorder="1"/>
    <xf numFmtId="164" fontId="0" fillId="14" borderId="0" xfId="0" applyNumberFormat="1" applyFill="1"/>
    <xf numFmtId="0" fontId="0" fillId="14" borderId="36" xfId="0" applyFill="1" applyBorder="1"/>
    <xf numFmtId="164" fontId="0" fillId="14" borderId="3" xfId="0" applyNumberFormat="1" applyFill="1" applyBorder="1"/>
    <xf numFmtId="164" fontId="0" fillId="14" borderId="19" xfId="0" applyNumberFormat="1" applyFill="1" applyBorder="1"/>
    <xf numFmtId="0" fontId="0" fillId="14" borderId="49" xfId="0" applyFill="1" applyBorder="1"/>
    <xf numFmtId="164" fontId="0" fillId="14" borderId="50" xfId="0" applyNumberFormat="1" applyFill="1" applyBorder="1" applyAlignment="1">
      <alignment horizontal="right"/>
    </xf>
    <xf numFmtId="42" fontId="3" fillId="0" borderId="48" xfId="0" applyNumberFormat="1" applyFont="1" applyBorder="1" applyAlignment="1">
      <alignment horizontal="right"/>
    </xf>
    <xf numFmtId="42" fontId="3" fillId="0" borderId="28" xfId="0" applyNumberFormat="1" applyFont="1" applyBorder="1" applyAlignment="1">
      <alignment horizontal="right"/>
    </xf>
    <xf numFmtId="42" fontId="0" fillId="10" borderId="47" xfId="0" applyNumberFormat="1" applyFill="1" applyBorder="1"/>
    <xf numFmtId="42" fontId="11" fillId="3" borderId="19" xfId="0" applyNumberFormat="1" applyFont="1" applyFill="1" applyBorder="1" applyAlignment="1">
      <alignment horizontal="center"/>
    </xf>
    <xf numFmtId="0" fontId="3" fillId="10" borderId="67" xfId="0" applyFont="1" applyFill="1" applyBorder="1" applyAlignment="1">
      <alignment horizontal="center"/>
    </xf>
    <xf numFmtId="0" fontId="3" fillId="10" borderId="24" xfId="0" applyFont="1" applyFill="1" applyBorder="1" applyAlignment="1">
      <alignment horizontal="center"/>
    </xf>
    <xf numFmtId="42" fontId="40" fillId="19" borderId="3" xfId="0" applyNumberFormat="1" applyFont="1" applyFill="1" applyBorder="1" applyAlignment="1">
      <alignment horizontal="center" vertical="center" wrapText="1"/>
    </xf>
    <xf numFmtId="42" fontId="40" fillId="6" borderId="3" xfId="0" applyNumberFormat="1" applyFont="1" applyFill="1" applyBorder="1" applyAlignment="1">
      <alignment horizontal="center" vertical="center" wrapText="1"/>
    </xf>
    <xf numFmtId="42" fontId="40" fillId="6" borderId="28" xfId="0" applyNumberFormat="1" applyFont="1" applyFill="1" applyBorder="1" applyAlignment="1">
      <alignment horizontal="center" vertical="center" wrapText="1"/>
    </xf>
    <xf numFmtId="42" fontId="11" fillId="0" borderId="0" xfId="0" applyNumberFormat="1" applyFont="1" applyAlignment="1">
      <alignment horizontal="center" vertical="center" wrapText="1"/>
    </xf>
    <xf numFmtId="42" fontId="32" fillId="21" borderId="0" xfId="0" applyNumberFormat="1" applyFont="1" applyFill="1" applyAlignment="1">
      <alignment horizontal="center" vertical="center"/>
    </xf>
    <xf numFmtId="42" fontId="11" fillId="21" borderId="0" xfId="0" applyNumberFormat="1" applyFont="1" applyFill="1" applyAlignment="1">
      <alignment horizontal="center" vertical="center" wrapText="1"/>
    </xf>
    <xf numFmtId="42" fontId="32" fillId="6" borderId="3" xfId="0" applyNumberFormat="1" applyFont="1" applyFill="1" applyBorder="1" applyAlignment="1">
      <alignment horizontal="center" vertical="center"/>
    </xf>
    <xf numFmtId="0" fontId="9" fillId="6"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9" fillId="13"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5" xfId="0" applyFont="1" applyBorder="1" applyAlignment="1">
      <alignment horizontal="left" vertical="center" wrapText="1"/>
    </xf>
    <xf numFmtId="0" fontId="11" fillId="0" borderId="9" xfId="0" applyFont="1" applyBorder="1" applyAlignment="1">
      <alignment horizontal="left" vertical="center" wrapText="1"/>
    </xf>
    <xf numFmtId="0" fontId="11" fillId="0" borderId="26" xfId="0" applyFont="1" applyBorder="1" applyAlignment="1">
      <alignment horizontal="left" vertical="center" wrapText="1"/>
    </xf>
    <xf numFmtId="0" fontId="0" fillId="14" borderId="33" xfId="0" applyFill="1" applyBorder="1"/>
    <xf numFmtId="0" fontId="3" fillId="2" borderId="23" xfId="0" applyFont="1" applyFill="1" applyBorder="1" applyAlignment="1">
      <alignment horizontal="center" vertical="center" wrapText="1"/>
    </xf>
    <xf numFmtId="0" fontId="9" fillId="0" borderId="52" xfId="0" applyFont="1" applyBorder="1" applyAlignment="1">
      <alignment vertical="center" wrapText="1"/>
    </xf>
    <xf numFmtId="0" fontId="3" fillId="2" borderId="24" xfId="0" applyFont="1" applyFill="1" applyBorder="1"/>
    <xf numFmtId="0" fontId="3" fillId="2" borderId="24" xfId="0" applyFont="1" applyFill="1" applyBorder="1" applyAlignment="1">
      <alignment horizontal="center"/>
    </xf>
    <xf numFmtId="0" fontId="62" fillId="14" borderId="35" xfId="0" applyFont="1" applyFill="1" applyBorder="1"/>
    <xf numFmtId="0" fontId="36" fillId="0" borderId="0" xfId="0" applyFont="1" applyAlignment="1">
      <alignment vertical="center" wrapText="1"/>
    </xf>
    <xf numFmtId="0" fontId="3" fillId="22" borderId="44" xfId="0" applyFont="1" applyFill="1" applyBorder="1" applyAlignment="1">
      <alignment horizontal="right" vertical="center"/>
    </xf>
    <xf numFmtId="44" fontId="3" fillId="12" borderId="39" xfId="0" applyNumberFormat="1" applyFont="1" applyFill="1" applyBorder="1" applyAlignment="1">
      <alignment vertical="center"/>
    </xf>
    <xf numFmtId="44" fontId="3" fillId="3" borderId="26" xfId="0" applyNumberFormat="1" applyFont="1" applyFill="1" applyBorder="1" applyAlignment="1">
      <alignment vertical="center"/>
    </xf>
    <xf numFmtId="44" fontId="3" fillId="14" borderId="73" xfId="0" applyNumberFormat="1" applyFont="1" applyFill="1" applyBorder="1" applyAlignment="1">
      <alignment vertical="center"/>
    </xf>
    <xf numFmtId="44" fontId="3" fillId="12" borderId="68" xfId="0" applyNumberFormat="1" applyFont="1" applyFill="1" applyBorder="1" applyAlignment="1">
      <alignment vertical="center"/>
    </xf>
    <xf numFmtId="0" fontId="0" fillId="0" borderId="8" xfId="0" applyBorder="1" applyAlignment="1">
      <alignment horizontal="left" vertical="center"/>
    </xf>
    <xf numFmtId="44" fontId="0" fillId="14" borderId="43" xfId="0" applyNumberFormat="1" applyFill="1" applyBorder="1" applyAlignment="1">
      <alignment horizontal="center" vertical="center"/>
    </xf>
    <xf numFmtId="44" fontId="9" fillId="14" borderId="41" xfId="0" applyNumberFormat="1" applyFont="1" applyFill="1" applyBorder="1" applyAlignment="1">
      <alignment horizontal="center" vertical="center"/>
    </xf>
    <xf numFmtId="44" fontId="9" fillId="14" borderId="37" xfId="0" applyNumberFormat="1" applyFont="1" applyFill="1" applyBorder="1" applyAlignment="1">
      <alignment horizontal="center" vertical="center"/>
    </xf>
    <xf numFmtId="164" fontId="9" fillId="14" borderId="9" xfId="0" applyNumberFormat="1" applyFont="1" applyFill="1" applyBorder="1" applyAlignment="1">
      <alignment horizontal="center" vertical="center"/>
    </xf>
    <xf numFmtId="44" fontId="9" fillId="14" borderId="42" xfId="0" applyNumberFormat="1" applyFont="1" applyFill="1" applyBorder="1" applyAlignment="1">
      <alignment horizontal="center" vertical="center"/>
    </xf>
    <xf numFmtId="164" fontId="9" fillId="14" borderId="10" xfId="0" applyNumberFormat="1" applyFont="1" applyFill="1" applyBorder="1" applyAlignment="1">
      <alignment horizontal="center" vertical="center"/>
    </xf>
    <xf numFmtId="44" fontId="9" fillId="14" borderId="40" xfId="0" applyNumberFormat="1" applyFont="1" applyFill="1" applyBorder="1" applyAlignment="1">
      <alignment horizontal="center" vertical="center"/>
    </xf>
    <xf numFmtId="44" fontId="9" fillId="14" borderId="36" xfId="0" applyNumberFormat="1" applyFont="1" applyFill="1" applyBorder="1" applyAlignment="1">
      <alignment horizontal="center" vertical="center"/>
    </xf>
    <xf numFmtId="164" fontId="9" fillId="14" borderId="3" xfId="0" applyNumberFormat="1" applyFont="1" applyFill="1" applyBorder="1" applyAlignment="1">
      <alignment horizontal="center" vertical="center"/>
    </xf>
    <xf numFmtId="42" fontId="3" fillId="14" borderId="29"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46" xfId="0" quotePrefix="1" applyFont="1" applyBorder="1" applyAlignment="1">
      <alignment horizontal="center" vertical="center"/>
    </xf>
    <xf numFmtId="0" fontId="0" fillId="0" borderId="2" xfId="0" applyBorder="1" applyAlignment="1">
      <alignment vertical="center" wrapText="1"/>
    </xf>
    <xf numFmtId="0" fontId="9" fillId="0" borderId="0" xfId="0" applyFont="1" applyAlignment="1">
      <alignment horizontal="right" vertical="center" wrapText="1"/>
    </xf>
    <xf numFmtId="9" fontId="3" fillId="14" borderId="23" xfId="0" applyNumberFormat="1" applyFont="1" applyFill="1" applyBorder="1" applyAlignment="1">
      <alignment horizontal="center" vertical="center"/>
    </xf>
    <xf numFmtId="10" fontId="11" fillId="14" borderId="23" xfId="0" applyNumberFormat="1" applyFont="1" applyFill="1" applyBorder="1" applyAlignment="1">
      <alignment horizontal="center" vertical="center"/>
    </xf>
    <xf numFmtId="42" fontId="11" fillId="21" borderId="19" xfId="0" applyNumberFormat="1" applyFont="1" applyFill="1" applyBorder="1" applyAlignment="1">
      <alignment horizontal="center" vertical="center"/>
    </xf>
    <xf numFmtId="42" fontId="32" fillId="16" borderId="24" xfId="0" applyNumberFormat="1" applyFont="1" applyFill="1" applyBorder="1" applyAlignment="1">
      <alignment horizontal="left" vertical="center"/>
    </xf>
    <xf numFmtId="42" fontId="32" fillId="16" borderId="29" xfId="0" applyNumberFormat="1" applyFont="1" applyFill="1" applyBorder="1" applyAlignment="1">
      <alignment horizontal="left" vertical="center"/>
    </xf>
    <xf numFmtId="0" fontId="3" fillId="0" borderId="2" xfId="0" applyFont="1" applyBorder="1" applyAlignment="1">
      <alignment horizontal="center" vertical="center"/>
    </xf>
    <xf numFmtId="0" fontId="9" fillId="0" borderId="52" xfId="0" applyFont="1" applyBorder="1" applyAlignment="1">
      <alignment horizontal="right" vertical="center" wrapText="1"/>
    </xf>
    <xf numFmtId="0" fontId="36" fillId="19" borderId="48" xfId="0" applyFont="1" applyFill="1" applyBorder="1" applyAlignment="1">
      <alignment vertical="center" wrapText="1"/>
    </xf>
    <xf numFmtId="0" fontId="17" fillId="19" borderId="48" xfId="0" applyFont="1" applyFill="1" applyBorder="1" applyAlignment="1">
      <alignment horizontal="center" vertical="center"/>
    </xf>
    <xf numFmtId="42" fontId="32" fillId="16" borderId="30" xfId="0" applyNumberFormat="1" applyFont="1" applyFill="1" applyBorder="1" applyAlignment="1">
      <alignment horizontal="left" vertical="center"/>
    </xf>
    <xf numFmtId="42" fontId="32" fillId="16" borderId="14" xfId="0" applyNumberFormat="1" applyFont="1" applyFill="1" applyBorder="1" applyAlignment="1">
      <alignment horizontal="left" vertical="center"/>
    </xf>
    <xf numFmtId="42" fontId="40" fillId="19" borderId="28" xfId="0" applyNumberFormat="1" applyFont="1" applyFill="1" applyBorder="1" applyAlignment="1">
      <alignment horizontal="center" vertical="center" wrapText="1"/>
    </xf>
    <xf numFmtId="0" fontId="35" fillId="19" borderId="19" xfId="0" applyFont="1" applyFill="1" applyBorder="1" applyAlignment="1">
      <alignment horizontal="left" vertical="center" wrapText="1"/>
    </xf>
    <xf numFmtId="0" fontId="9" fillId="0" borderId="23" xfId="0" applyFont="1" applyBorder="1" applyAlignment="1">
      <alignment horizontal="left" vertical="center" wrapText="1"/>
    </xf>
    <xf numFmtId="0" fontId="9" fillId="0" borderId="26" xfId="0" applyFont="1" applyBorder="1" applyAlignment="1">
      <alignment horizontal="left" vertical="center" wrapText="1"/>
    </xf>
    <xf numFmtId="0" fontId="3" fillId="0" borderId="25" xfId="0" applyFont="1" applyBorder="1" applyAlignment="1">
      <alignment horizontal="center" vertical="center"/>
    </xf>
    <xf numFmtId="0" fontId="17" fillId="19" borderId="4" xfId="0" applyFont="1" applyFill="1" applyBorder="1" applyAlignment="1">
      <alignment horizontal="center" vertical="center"/>
    </xf>
    <xf numFmtId="181" fontId="3" fillId="22" borderId="3" xfId="0" applyNumberFormat="1" applyFont="1" applyFill="1" applyBorder="1"/>
    <xf numFmtId="0" fontId="23" fillId="21" borderId="0" xfId="0" applyFont="1" applyFill="1" applyAlignment="1">
      <alignment vertical="center"/>
    </xf>
    <xf numFmtId="0" fontId="11" fillId="0" borderId="52" xfId="0" applyFont="1" applyBorder="1" applyAlignment="1">
      <alignment horizontal="center" vertical="center"/>
    </xf>
    <xf numFmtId="0" fontId="3" fillId="0" borderId="80" xfId="0" quotePrefix="1" applyFont="1" applyBorder="1" applyAlignment="1">
      <alignment horizontal="center" vertical="center"/>
    </xf>
    <xf numFmtId="0" fontId="0" fillId="3" borderId="40" xfId="0" applyFill="1" applyBorder="1"/>
    <xf numFmtId="0" fontId="0" fillId="3" borderId="19" xfId="0" applyFill="1" applyBorder="1"/>
    <xf numFmtId="0" fontId="2" fillId="3" borderId="19" xfId="0" applyFont="1" applyFill="1" applyBorder="1" applyAlignment="1">
      <alignment horizontal="right"/>
    </xf>
    <xf numFmtId="164" fontId="0" fillId="14" borderId="3" xfId="0" applyNumberFormat="1" applyFill="1" applyBorder="1" applyAlignment="1">
      <alignment horizontal="right"/>
    </xf>
    <xf numFmtId="164" fontId="0" fillId="10" borderId="8" xfId="0" applyNumberFormat="1" applyFill="1" applyBorder="1"/>
    <xf numFmtId="164" fontId="0" fillId="10" borderId="45" xfId="0" applyNumberFormat="1" applyFill="1" applyBorder="1"/>
    <xf numFmtId="164" fontId="0" fillId="10" borderId="46" xfId="0" applyNumberFormat="1" applyFill="1" applyBorder="1"/>
    <xf numFmtId="42" fontId="11" fillId="2" borderId="3" xfId="0" quotePrefix="1" applyNumberFormat="1" applyFont="1" applyFill="1" applyBorder="1" applyAlignment="1">
      <alignment horizontal="center"/>
    </xf>
    <xf numFmtId="42" fontId="10" fillId="0" borderId="0" xfId="0" applyNumberFormat="1" applyFont="1"/>
    <xf numFmtId="42" fontId="11" fillId="14" borderId="29" xfId="0" quotePrefix="1" applyNumberFormat="1" applyFont="1" applyFill="1" applyBorder="1" applyAlignment="1">
      <alignment horizontal="left"/>
    </xf>
    <xf numFmtId="0" fontId="3" fillId="3" borderId="60" xfId="0" applyFont="1" applyFill="1" applyBorder="1" applyAlignment="1">
      <alignment horizontal="center"/>
    </xf>
    <xf numFmtId="42" fontId="3" fillId="3" borderId="23" xfId="0" applyNumberFormat="1" applyFont="1" applyFill="1" applyBorder="1" applyAlignment="1">
      <alignment horizontal="center"/>
    </xf>
    <xf numFmtId="0" fontId="0" fillId="0" borderId="33" xfId="0" applyBorder="1" applyAlignment="1">
      <alignment horizontal="center"/>
    </xf>
    <xf numFmtId="42" fontId="3" fillId="15" borderId="3" xfId="0" applyNumberFormat="1" applyFont="1" applyFill="1" applyBorder="1" applyAlignment="1">
      <alignment horizontal="center" vertical="center"/>
    </xf>
    <xf numFmtId="0" fontId="0" fillId="2" borderId="28" xfId="0" applyFill="1" applyBorder="1" applyAlignment="1">
      <alignment horizontal="centerContinuous"/>
    </xf>
    <xf numFmtId="0" fontId="0" fillId="14" borderId="48" xfId="0" applyFill="1" applyBorder="1" applyAlignment="1">
      <alignment horizontal="center"/>
    </xf>
    <xf numFmtId="0" fontId="0" fillId="14" borderId="28" xfId="0" applyFill="1" applyBorder="1" applyAlignment="1">
      <alignment horizontal="center"/>
    </xf>
    <xf numFmtId="0" fontId="0" fillId="14" borderId="3" xfId="0" applyFill="1" applyBorder="1" applyAlignment="1">
      <alignment horizontal="center"/>
    </xf>
    <xf numFmtId="0" fontId="0" fillId="0" borderId="8" xfId="0" applyBorder="1" applyAlignment="1">
      <alignment horizontal="right" vertical="center"/>
    </xf>
    <xf numFmtId="44" fontId="3" fillId="14" borderId="8" xfId="0" applyNumberFormat="1" applyFont="1" applyFill="1" applyBorder="1" applyAlignment="1">
      <alignment vertical="center"/>
    </xf>
    <xf numFmtId="0" fontId="3" fillId="12" borderId="48" xfId="0" applyFont="1" applyFill="1" applyBorder="1" applyAlignment="1">
      <alignment horizontal="center" vertical="center"/>
    </xf>
    <xf numFmtId="42" fontId="17" fillId="19" borderId="3" xfId="0" applyNumberFormat="1" applyFont="1" applyFill="1" applyBorder="1" applyAlignment="1">
      <alignment horizontal="center" vertical="center"/>
    </xf>
    <xf numFmtId="42" fontId="11" fillId="16" borderId="15" xfId="0" applyNumberFormat="1" applyFont="1" applyFill="1" applyBorder="1" applyAlignment="1">
      <alignment horizontal="center" vertical="center"/>
    </xf>
    <xf numFmtId="42" fontId="11" fillId="16" borderId="10" xfId="0" applyNumberFormat="1" applyFont="1" applyFill="1" applyBorder="1" applyAlignment="1">
      <alignment horizontal="center" vertical="center"/>
    </xf>
    <xf numFmtId="42" fontId="59" fillId="0" borderId="14" xfId="0" applyNumberFormat="1" applyFont="1" applyBorder="1" applyAlignment="1">
      <alignment horizontal="center" vertical="center"/>
    </xf>
    <xf numFmtId="169" fontId="0" fillId="14" borderId="9" xfId="0" applyNumberFormat="1" applyFill="1" applyBorder="1" applyAlignment="1">
      <alignment horizontal="center" vertical="center"/>
    </xf>
    <xf numFmtId="169" fontId="0" fillId="14" borderId="46" xfId="0" applyNumberFormat="1" applyFill="1" applyBorder="1" applyAlignment="1">
      <alignment horizontal="center" vertical="center"/>
    </xf>
    <xf numFmtId="169" fontId="0" fillId="14" borderId="47" xfId="0" applyNumberFormat="1" applyFill="1" applyBorder="1" applyAlignment="1">
      <alignment horizontal="center" vertical="center"/>
    </xf>
    <xf numFmtId="0" fontId="15" fillId="2" borderId="60" xfId="0" applyFont="1" applyFill="1" applyBorder="1" applyAlignment="1">
      <alignment horizontal="center" vertical="center"/>
    </xf>
    <xf numFmtId="44" fontId="9" fillId="0" borderId="8" xfId="0" applyNumberFormat="1" applyFont="1" applyBorder="1" applyAlignment="1">
      <alignment horizontal="center" vertical="center"/>
    </xf>
    <xf numFmtId="0" fontId="0" fillId="0" borderId="9" xfId="0" applyBorder="1" applyAlignment="1">
      <alignment horizontal="right" vertical="center"/>
    </xf>
    <xf numFmtId="0" fontId="0" fillId="0" borderId="26" xfId="0" applyBorder="1" applyAlignment="1">
      <alignment horizontal="right" vertical="center"/>
    </xf>
    <xf numFmtId="42" fontId="9" fillId="14" borderId="1" xfId="0" applyNumberFormat="1" applyFont="1" applyFill="1" applyBorder="1" applyAlignment="1">
      <alignment horizontal="center" vertical="center" wrapText="1"/>
    </xf>
    <xf numFmtId="0" fontId="30" fillId="0" borderId="0" xfId="0" applyFont="1" applyAlignment="1">
      <alignment horizontal="center"/>
    </xf>
    <xf numFmtId="42" fontId="29" fillId="3" borderId="3" xfId="0" applyNumberFormat="1" applyFont="1" applyFill="1" applyBorder="1" applyAlignment="1">
      <alignment horizontal="center"/>
    </xf>
    <xf numFmtId="42" fontId="29" fillId="3" borderId="28" xfId="0" applyNumberFormat="1" applyFont="1" applyFill="1" applyBorder="1" applyAlignment="1">
      <alignment horizontal="center"/>
    </xf>
    <xf numFmtId="42" fontId="30" fillId="0" borderId="0" xfId="0" applyNumberFormat="1" applyFont="1" applyAlignment="1">
      <alignment horizontal="center"/>
    </xf>
    <xf numFmtId="0" fontId="30" fillId="0" borderId="0" xfId="0" applyFont="1"/>
    <xf numFmtId="0" fontId="29" fillId="0" borderId="0" xfId="0" applyFont="1" applyAlignment="1">
      <alignment horizontal="right"/>
    </xf>
    <xf numFmtId="42" fontId="29" fillId="0" borderId="0" xfId="0" applyNumberFormat="1" applyFont="1" applyAlignment="1">
      <alignment horizontal="center"/>
    </xf>
    <xf numFmtId="0" fontId="7" fillId="0" borderId="0" xfId="0" applyFont="1"/>
    <xf numFmtId="0" fontId="3" fillId="20" borderId="24" xfId="0" applyFont="1" applyFill="1" applyBorder="1" applyAlignment="1">
      <alignment horizontal="center"/>
    </xf>
    <xf numFmtId="9" fontId="0" fillId="0" borderId="0" xfId="0" applyNumberFormat="1"/>
    <xf numFmtId="42" fontId="40" fillId="3" borderId="50" xfId="0" applyNumberFormat="1" applyFont="1" applyFill="1" applyBorder="1"/>
    <xf numFmtId="42" fontId="40" fillId="3" borderId="23" xfId="0" applyNumberFormat="1" applyFont="1" applyFill="1" applyBorder="1"/>
    <xf numFmtId="10" fontId="0" fillId="14" borderId="3" xfId="0" applyNumberFormat="1" applyFill="1" applyBorder="1" applyAlignment="1">
      <alignment horizontal="center"/>
    </xf>
    <xf numFmtId="0" fontId="17" fillId="19" borderId="19" xfId="0" applyFont="1" applyFill="1" applyBorder="1"/>
    <xf numFmtId="0" fontId="88" fillId="19" borderId="19" xfId="0" applyFont="1" applyFill="1" applyBorder="1"/>
    <xf numFmtId="0" fontId="0" fillId="19" borderId="19" xfId="0" applyFill="1" applyBorder="1"/>
    <xf numFmtId="0" fontId="88" fillId="19" borderId="28" xfId="0" applyFont="1" applyFill="1" applyBorder="1"/>
    <xf numFmtId="0" fontId="40" fillId="3" borderId="49" xfId="0" applyFont="1" applyFill="1" applyBorder="1" applyAlignment="1">
      <alignment horizontal="right"/>
    </xf>
    <xf numFmtId="181" fontId="40" fillId="3" borderId="23" xfId="0" applyNumberFormat="1" applyFont="1" applyFill="1" applyBorder="1"/>
    <xf numFmtId="0" fontId="38" fillId="0" borderId="0" xfId="0" applyFont="1"/>
    <xf numFmtId="0" fontId="9" fillId="0" borderId="69" xfId="0" applyFont="1" applyBorder="1" applyAlignment="1">
      <alignment horizontal="right"/>
    </xf>
    <xf numFmtId="42" fontId="11" fillId="0" borderId="26" xfId="0" applyNumberFormat="1" applyFont="1" applyBorder="1" applyAlignment="1">
      <alignment horizontal="center"/>
    </xf>
    <xf numFmtId="0" fontId="29" fillId="3" borderId="3" xfId="0" applyFont="1" applyFill="1" applyBorder="1" applyAlignment="1">
      <alignment horizontal="center"/>
    </xf>
    <xf numFmtId="0" fontId="29" fillId="3" borderId="19" xfId="0" applyFont="1" applyFill="1" applyBorder="1" applyAlignment="1">
      <alignment horizontal="right"/>
    </xf>
    <xf numFmtId="42" fontId="29" fillId="3" borderId="19" xfId="0" applyNumberFormat="1" applyFont="1" applyFill="1" applyBorder="1" applyAlignment="1">
      <alignment horizontal="center"/>
    </xf>
    <xf numFmtId="42" fontId="29" fillId="3" borderId="48" xfId="0" applyNumberFormat="1" applyFont="1" applyFill="1" applyBorder="1" applyAlignment="1">
      <alignment horizontal="center"/>
    </xf>
    <xf numFmtId="44" fontId="29" fillId="0" borderId="48" xfId="0" applyNumberFormat="1" applyFont="1" applyBorder="1"/>
    <xf numFmtId="0" fontId="0" fillId="10" borderId="33" xfId="0" applyFill="1" applyBorder="1"/>
    <xf numFmtId="5" fontId="0" fillId="10" borderId="12" xfId="0" applyNumberFormat="1" applyFill="1" applyBorder="1"/>
    <xf numFmtId="5" fontId="0" fillId="10" borderId="13" xfId="0" applyNumberFormat="1" applyFill="1" applyBorder="1"/>
    <xf numFmtId="5" fontId="0" fillId="10" borderId="21" xfId="0" applyNumberFormat="1" applyFill="1" applyBorder="1"/>
    <xf numFmtId="42" fontId="0" fillId="10" borderId="17" xfId="0" applyNumberFormat="1" applyFill="1" applyBorder="1"/>
    <xf numFmtId="42" fontId="0" fillId="10" borderId="20" xfId="0" applyNumberFormat="1" applyFill="1" applyBorder="1"/>
    <xf numFmtId="10" fontId="0" fillId="10" borderId="17" xfId="0" applyNumberFormat="1" applyFill="1" applyBorder="1" applyAlignment="1">
      <alignment horizontal="center"/>
    </xf>
    <xf numFmtId="164" fontId="43" fillId="16" borderId="15" xfId="0" applyNumberFormat="1" applyFont="1" applyFill="1" applyBorder="1" applyAlignment="1">
      <alignment horizontal="center"/>
    </xf>
    <xf numFmtId="177" fontId="3" fillId="10" borderId="0" xfId="0" applyNumberFormat="1" applyFont="1" applyFill="1" applyAlignment="1">
      <alignment horizontal="center" vertical="center"/>
    </xf>
    <xf numFmtId="0" fontId="3" fillId="12" borderId="23" xfId="0" applyFont="1" applyFill="1" applyBorder="1" applyAlignment="1">
      <alignment horizontal="center" vertical="center"/>
    </xf>
    <xf numFmtId="164" fontId="0" fillId="14" borderId="54" xfId="0" applyNumberFormat="1" applyFill="1" applyBorder="1" applyAlignment="1">
      <alignment horizontal="right"/>
    </xf>
    <xf numFmtId="164" fontId="0" fillId="14" borderId="9" xfId="0" applyNumberFormat="1" applyFill="1" applyBorder="1" applyAlignment="1">
      <alignment horizontal="right"/>
    </xf>
    <xf numFmtId="0" fontId="0" fillId="14" borderId="76" xfId="0" applyFill="1" applyBorder="1" applyAlignment="1">
      <alignment horizontal="center"/>
    </xf>
    <xf numFmtId="164" fontId="0" fillId="14" borderId="10" xfId="0" applyNumberFormat="1" applyFill="1" applyBorder="1" applyAlignment="1">
      <alignment horizontal="right"/>
    </xf>
    <xf numFmtId="164" fontId="0" fillId="14" borderId="55" xfId="0" applyNumberFormat="1" applyFill="1" applyBorder="1" applyAlignment="1">
      <alignment horizontal="right"/>
    </xf>
    <xf numFmtId="164" fontId="3" fillId="22" borderId="3" xfId="0" applyNumberFormat="1" applyFont="1" applyFill="1" applyBorder="1" applyAlignment="1">
      <alignment horizontal="right"/>
    </xf>
    <xf numFmtId="164" fontId="0" fillId="14" borderId="15" xfId="0" applyNumberFormat="1" applyFill="1" applyBorder="1" applyAlignment="1">
      <alignment horizontal="right"/>
    </xf>
    <xf numFmtId="164" fontId="0" fillId="14" borderId="53" xfId="0" applyNumberFormat="1" applyFill="1" applyBorder="1" applyAlignment="1">
      <alignment horizontal="right"/>
    </xf>
    <xf numFmtId="42" fontId="0" fillId="14" borderId="15" xfId="0" applyNumberFormat="1" applyFill="1" applyBorder="1" applyAlignment="1">
      <alignment horizontal="right"/>
    </xf>
    <xf numFmtId="42" fontId="0" fillId="14" borderId="9" xfId="0" applyNumberFormat="1" applyFill="1" applyBorder="1" applyAlignment="1">
      <alignment horizontal="right"/>
    </xf>
    <xf numFmtId="42" fontId="0" fillId="14" borderId="10" xfId="0" applyNumberFormat="1" applyFill="1" applyBorder="1" applyAlignment="1">
      <alignment horizontal="right"/>
    </xf>
    <xf numFmtId="0" fontId="0" fillId="0" borderId="49" xfId="0" applyBorder="1" applyAlignment="1">
      <alignment horizontal="left"/>
    </xf>
    <xf numFmtId="0" fontId="0" fillId="0" borderId="48" xfId="0" applyBorder="1" applyAlignment="1">
      <alignment horizontal="left" vertical="center" wrapText="1"/>
    </xf>
    <xf numFmtId="0" fontId="90" fillId="0" borderId="3" xfId="0" applyFont="1" applyBorder="1" applyAlignment="1">
      <alignment horizontal="center" vertical="center"/>
    </xf>
    <xf numFmtId="0" fontId="87" fillId="21" borderId="23" xfId="0" applyFont="1" applyFill="1" applyBorder="1" applyAlignment="1">
      <alignment horizontal="center" vertical="center" textRotation="90"/>
    </xf>
    <xf numFmtId="0" fontId="87" fillId="21" borderId="24" xfId="0" applyFont="1" applyFill="1" applyBorder="1" applyAlignment="1">
      <alignment horizontal="center" vertical="center" textRotation="90"/>
    </xf>
    <xf numFmtId="0" fontId="0" fillId="18" borderId="56" xfId="0" applyFill="1" applyBorder="1" applyAlignment="1">
      <alignment horizontal="left" vertical="center" wrapText="1"/>
    </xf>
    <xf numFmtId="0" fontId="0" fillId="0" borderId="31" xfId="0" applyBorder="1" applyAlignment="1">
      <alignment wrapText="1"/>
    </xf>
    <xf numFmtId="0" fontId="0" fillId="18" borderId="57" xfId="0" applyFill="1" applyBorder="1" applyAlignment="1">
      <alignment horizontal="left" vertical="center" wrapText="1"/>
    </xf>
    <xf numFmtId="0" fontId="0" fillId="0" borderId="32" xfId="0" applyBorder="1" applyAlignment="1">
      <alignment wrapText="1"/>
    </xf>
    <xf numFmtId="0" fontId="30" fillId="0" borderId="19" xfId="0" applyFont="1" applyBorder="1" applyAlignment="1">
      <alignment wrapText="1"/>
    </xf>
    <xf numFmtId="0" fontId="30" fillId="0" borderId="28" xfId="0" applyFont="1" applyBorder="1" applyAlignment="1">
      <alignment wrapText="1"/>
    </xf>
    <xf numFmtId="0" fontId="38" fillId="0" borderId="48" xfId="0" applyFont="1" applyBorder="1" applyAlignment="1">
      <alignment vertical="center" wrapText="1"/>
    </xf>
    <xf numFmtId="0" fontId="38" fillId="0" borderId="28" xfId="0" applyFont="1" applyBorder="1"/>
    <xf numFmtId="0" fontId="29" fillId="6" borderId="48" xfId="0" applyFont="1" applyFill="1" applyBorder="1"/>
    <xf numFmtId="0" fontId="0" fillId="0" borderId="28" xfId="0" applyBorder="1"/>
    <xf numFmtId="0" fontId="0" fillId="7" borderId="48" xfId="0" applyFill="1" applyBorder="1"/>
    <xf numFmtId="0" fontId="0" fillId="7" borderId="19" xfId="0" applyFill="1" applyBorder="1"/>
    <xf numFmtId="0" fontId="0" fillId="14" borderId="54" xfId="0" applyFill="1" applyBorder="1"/>
    <xf numFmtId="0" fontId="0" fillId="14" borderId="4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9" fillId="14" borderId="53" xfId="0" applyFont="1" applyFill="1" applyBorder="1"/>
    <xf numFmtId="0" fontId="9" fillId="14" borderId="71" xfId="0" applyFont="1" applyFill="1" applyBorder="1"/>
    <xf numFmtId="0" fontId="0" fillId="14" borderId="53" xfId="0" applyFill="1" applyBorder="1"/>
    <xf numFmtId="0" fontId="0" fillId="14" borderId="71" xfId="0" applyFill="1" applyBorder="1"/>
    <xf numFmtId="0" fontId="0" fillId="14" borderId="55" xfId="0" applyFill="1" applyBorder="1"/>
    <xf numFmtId="0" fontId="0" fillId="14" borderId="76" xfId="0" applyFill="1" applyBorder="1"/>
    <xf numFmtId="0" fontId="3" fillId="7" borderId="48" xfId="0" applyFont="1" applyFill="1" applyBorder="1"/>
    <xf numFmtId="0" fontId="3" fillId="7" borderId="19" xfId="0" applyFont="1" applyFill="1" applyBorder="1"/>
    <xf numFmtId="0" fontId="2" fillId="2" borderId="40" xfId="0" applyFont="1" applyFill="1" applyBorder="1"/>
    <xf numFmtId="0" fontId="0" fillId="0" borderId="19" xfId="0" applyBorder="1"/>
    <xf numFmtId="0" fontId="40"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0" fillId="0" borderId="48" xfId="0" applyFont="1" applyBorder="1" applyAlignment="1">
      <alignment horizontal="left"/>
    </xf>
    <xf numFmtId="0" fontId="0" fillId="14" borderId="34" xfId="0" applyFill="1" applyBorder="1"/>
    <xf numFmtId="0" fontId="0" fillId="14" borderId="1" xfId="0" applyFill="1" applyBorder="1"/>
    <xf numFmtId="0" fontId="0" fillId="14" borderId="37" xfId="0" applyFill="1" applyBorder="1"/>
    <xf numFmtId="0" fontId="0" fillId="14" borderId="47" xfId="0" applyFill="1" applyBorder="1"/>
    <xf numFmtId="0" fontId="0" fillId="14" borderId="68" xfId="0" applyFill="1" applyBorder="1"/>
    <xf numFmtId="0" fontId="3" fillId="13" borderId="25" xfId="0" applyFont="1" applyFill="1" applyBorder="1" applyAlignment="1">
      <alignment horizontal="right"/>
    </xf>
    <xf numFmtId="0" fontId="0" fillId="13"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14" borderId="64" xfId="0" applyFill="1" applyBorder="1"/>
    <xf numFmtId="0" fontId="0" fillId="14" borderId="6" xfId="0" applyFill="1" applyBorder="1"/>
    <xf numFmtId="0" fontId="0" fillId="14" borderId="42" xfId="0" applyFill="1" applyBorder="1"/>
    <xf numFmtId="0" fontId="0" fillId="14" borderId="33" xfId="0" applyFill="1" applyBorder="1"/>
    <xf numFmtId="0" fontId="0" fillId="14" borderId="11" xfId="0" applyFill="1" applyBorder="1"/>
    <xf numFmtId="0" fontId="0" fillId="14" borderId="38" xfId="0" applyFill="1" applyBorder="1"/>
    <xf numFmtId="0" fontId="0" fillId="14" borderId="57" xfId="0" applyFill="1" applyBorder="1" applyAlignment="1">
      <alignment horizontal="left"/>
    </xf>
    <xf numFmtId="0" fontId="0" fillId="14"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2" fillId="14" borderId="48" xfId="0" applyNumberFormat="1" applyFont="1" applyFill="1" applyBorder="1" applyAlignment="1">
      <alignment horizontal="left"/>
    </xf>
    <xf numFmtId="0" fontId="42" fillId="14" borderId="28" xfId="0" applyFont="1" applyFill="1" applyBorder="1" applyAlignment="1">
      <alignment horizontal="left"/>
    </xf>
    <xf numFmtId="0" fontId="84" fillId="13" borderId="36" xfId="0" applyFont="1" applyFill="1" applyBorder="1" applyAlignment="1">
      <alignment horizontal="right"/>
    </xf>
    <xf numFmtId="0" fontId="84" fillId="13" borderId="4" xfId="0" applyFont="1" applyFill="1" applyBorder="1" applyAlignment="1">
      <alignment horizontal="right"/>
    </xf>
    <xf numFmtId="0" fontId="30" fillId="14" borderId="33" xfId="0" applyFont="1" applyFill="1" applyBorder="1" applyAlignment="1">
      <alignment horizontal="right"/>
    </xf>
    <xf numFmtId="0" fontId="30" fillId="14"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0" fillId="14" borderId="34" xfId="0" applyFont="1" applyFill="1" applyBorder="1" applyAlignment="1">
      <alignment horizontal="right"/>
    </xf>
    <xf numFmtId="0" fontId="30" fillId="14" borderId="1" xfId="0" applyFont="1" applyFill="1" applyBorder="1" applyAlignment="1">
      <alignment horizontal="right"/>
    </xf>
    <xf numFmtId="0" fontId="30" fillId="14" borderId="35" xfId="0" applyFont="1" applyFill="1" applyBorder="1" applyAlignment="1">
      <alignment horizontal="right"/>
    </xf>
    <xf numFmtId="0" fontId="30" fillId="14" borderId="20" xfId="0" applyFont="1" applyFill="1" applyBorder="1" applyAlignment="1">
      <alignment horizontal="right"/>
    </xf>
    <xf numFmtId="0" fontId="84" fillId="3" borderId="36" xfId="0" applyFont="1" applyFill="1" applyBorder="1" applyAlignment="1">
      <alignment horizontal="right"/>
    </xf>
    <xf numFmtId="0" fontId="84" fillId="3" borderId="4" xfId="0" applyFont="1" applyFill="1" applyBorder="1" applyAlignment="1">
      <alignment horizontal="right"/>
    </xf>
    <xf numFmtId="0" fontId="0" fillId="14" borderId="16" xfId="0" applyFill="1" applyBorder="1"/>
    <xf numFmtId="0" fontId="0" fillId="14" borderId="7" xfId="0" applyFill="1" applyBorder="1"/>
    <xf numFmtId="0" fontId="3" fillId="22" borderId="48" xfId="0" applyFont="1" applyFill="1" applyBorder="1" applyAlignment="1">
      <alignment horizontal="center" vertical="center"/>
    </xf>
    <xf numFmtId="0" fontId="3" fillId="22" borderId="28"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1" fillId="2" borderId="77" xfId="0" applyFont="1" applyFill="1" applyBorder="1" applyAlignment="1">
      <alignment horizontal="left" vertical="center"/>
    </xf>
    <xf numFmtId="0" fontId="0" fillId="0" borderId="66" xfId="0" applyBorder="1" applyAlignment="1">
      <alignment vertical="center"/>
    </xf>
    <xf numFmtId="0" fontId="0" fillId="14" borderId="33" xfId="0" applyFill="1" applyBorder="1" applyAlignment="1">
      <alignment vertical="center"/>
    </xf>
    <xf numFmtId="0" fontId="0" fillId="14" borderId="12" xfId="0" applyFill="1" applyBorder="1" applyAlignment="1">
      <alignment vertical="center"/>
    </xf>
    <xf numFmtId="0" fontId="0" fillId="14" borderId="35" xfId="0" applyFill="1" applyBorder="1" applyAlignment="1">
      <alignment vertical="center"/>
    </xf>
    <xf numFmtId="0" fontId="0" fillId="14" borderId="21" xfId="0" applyFill="1" applyBorder="1" applyAlignment="1">
      <alignment vertical="center"/>
    </xf>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3" fillId="3" borderId="51" xfId="0" applyFont="1" applyFill="1" applyBorder="1" applyAlignment="1">
      <alignment horizontal="right" vertical="center"/>
    </xf>
    <xf numFmtId="0" fontId="0" fillId="3" borderId="52" xfId="0" applyFill="1" applyBorder="1" applyAlignment="1">
      <alignment vertical="center"/>
    </xf>
    <xf numFmtId="0" fontId="3" fillId="22" borderId="48" xfId="0" applyFont="1" applyFill="1" applyBorder="1" applyAlignment="1">
      <alignment horizontal="center" vertical="center" wrapText="1"/>
    </xf>
    <xf numFmtId="0" fontId="3" fillId="22" borderId="28" xfId="0" applyFont="1" applyFill="1" applyBorder="1" applyAlignment="1">
      <alignment horizontal="center" vertical="center" wrapText="1"/>
    </xf>
    <xf numFmtId="0" fontId="3" fillId="2" borderId="48" xfId="0" applyFont="1" applyFill="1" applyBorder="1" applyAlignment="1">
      <alignment horizontal="center" vertical="center"/>
    </xf>
    <xf numFmtId="0" fontId="3" fillId="2" borderId="28" xfId="0" applyFont="1" applyFill="1" applyBorder="1" applyAlignment="1">
      <alignment vertical="center"/>
    </xf>
    <xf numFmtId="0" fontId="22" fillId="0" borderId="49" xfId="0" applyFont="1" applyBorder="1" applyAlignment="1">
      <alignment vertical="center"/>
    </xf>
    <xf numFmtId="0" fontId="2" fillId="0" borderId="22" xfId="0" applyFont="1" applyBorder="1" applyAlignment="1">
      <alignment vertical="center"/>
    </xf>
    <xf numFmtId="0" fontId="2" fillId="0" borderId="50" xfId="0" applyFont="1" applyBorder="1" applyAlignment="1">
      <alignment vertical="center"/>
    </xf>
    <xf numFmtId="0" fontId="20" fillId="0" borderId="44" xfId="0" applyFont="1" applyBorder="1" applyAlignment="1">
      <alignment vertical="center"/>
    </xf>
    <xf numFmtId="0" fontId="0" fillId="0" borderId="0" xfId="0"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 fillId="3" borderId="48" xfId="0" applyFont="1" applyFill="1" applyBorder="1" applyAlignment="1">
      <alignment horizontal="right" vertical="center"/>
    </xf>
    <xf numFmtId="0" fontId="3" fillId="0" borderId="19" xfId="0" applyFont="1" applyBorder="1" applyAlignment="1">
      <alignment horizontal="right" vertical="center"/>
    </xf>
    <xf numFmtId="0" fontId="3" fillId="2" borderId="4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0" fillId="3" borderId="19" xfId="0" applyFill="1" applyBorder="1" applyAlignment="1">
      <alignment horizontal="right" vertical="center"/>
    </xf>
    <xf numFmtId="0" fontId="0" fillId="3" borderId="28" xfId="0" applyFill="1" applyBorder="1" applyAlignment="1">
      <alignment horizontal="right" vertical="center"/>
    </xf>
    <xf numFmtId="0" fontId="3" fillId="13" borderId="19" xfId="0" applyFont="1" applyFill="1" applyBorder="1" applyAlignment="1">
      <alignment horizontal="left" vertical="center"/>
    </xf>
    <xf numFmtId="0" fontId="3" fillId="13" borderId="28" xfId="0" applyFont="1" applyFill="1" applyBorder="1" applyAlignment="1">
      <alignment horizontal="left" vertical="center"/>
    </xf>
    <xf numFmtId="0" fontId="58" fillId="0" borderId="22" xfId="0" applyFont="1" applyBorder="1" applyAlignment="1">
      <alignment horizontal="center" vertical="center"/>
    </xf>
    <xf numFmtId="0" fontId="38" fillId="0" borderId="22" xfId="0" applyFont="1" applyBorder="1" applyAlignment="1">
      <alignment horizontal="center" vertical="center"/>
    </xf>
    <xf numFmtId="0" fontId="3" fillId="22" borderId="28" xfId="0" applyFont="1"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44" fontId="3" fillId="2" borderId="3" xfId="0" applyNumberFormat="1" applyFont="1" applyFill="1"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34"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70"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0" fillId="14" borderId="34" xfId="0" applyFill="1" applyBorder="1" applyAlignment="1">
      <alignment vertical="center"/>
    </xf>
    <xf numFmtId="0" fontId="0" fillId="14" borderId="13" xfId="0" applyFill="1" applyBorder="1" applyAlignment="1">
      <alignment vertical="center"/>
    </xf>
    <xf numFmtId="0" fontId="0" fillId="14" borderId="35" xfId="0" applyFill="1" applyBorder="1" applyAlignment="1">
      <alignment horizontal="left" vertical="center"/>
    </xf>
    <xf numFmtId="0" fontId="0" fillId="14" borderId="20" xfId="0" applyFill="1" applyBorder="1" applyAlignment="1">
      <alignment vertical="center"/>
    </xf>
    <xf numFmtId="0" fontId="3" fillId="2" borderId="36" xfId="0" applyFont="1" applyFill="1" applyBorder="1" applyAlignment="1">
      <alignment horizontal="right" vertical="center"/>
    </xf>
    <xf numFmtId="0" fontId="0" fillId="2" borderId="5" xfId="0" applyFill="1" applyBorder="1" applyAlignment="1">
      <alignment vertical="center"/>
    </xf>
    <xf numFmtId="0" fontId="11" fillId="2" borderId="0" xfId="0" applyFont="1" applyFill="1" applyAlignment="1">
      <alignment horizontal="left" vertical="center"/>
    </xf>
    <xf numFmtId="0" fontId="0" fillId="0" borderId="22" xfId="0" applyBorder="1" applyAlignment="1">
      <alignment vertical="center"/>
    </xf>
    <xf numFmtId="0" fontId="0" fillId="14" borderId="33" xfId="0" applyFill="1" applyBorder="1" applyAlignment="1">
      <alignment horizontal="left" vertical="center"/>
    </xf>
    <xf numFmtId="0" fontId="0" fillId="14" borderId="11" xfId="0" applyFill="1" applyBorder="1" applyAlignment="1">
      <alignment vertical="center"/>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 borderId="36" xfId="0" applyFont="1" applyFill="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6" fillId="0" borderId="4" xfId="0" applyFont="1" applyBorder="1" applyAlignment="1">
      <alignment vertical="center"/>
    </xf>
    <xf numFmtId="0" fontId="46" fillId="0" borderId="5" xfId="0" applyFont="1" applyBorder="1" applyAlignment="1">
      <alignment vertical="center"/>
    </xf>
    <xf numFmtId="0" fontId="0" fillId="0" borderId="44" xfId="0" applyBorder="1" applyAlignment="1">
      <alignment vertical="center" wrapText="1"/>
    </xf>
    <xf numFmtId="0" fontId="0" fillId="0" borderId="51" xfId="0" applyBorder="1" applyAlignment="1">
      <alignment vertical="center"/>
    </xf>
    <xf numFmtId="44" fontId="0" fillId="0" borderId="51" xfId="0" applyNumberFormat="1" applyBorder="1" applyAlignment="1">
      <alignment horizontal="left" vertical="center"/>
    </xf>
    <xf numFmtId="0" fontId="3" fillId="3" borderId="19" xfId="0" applyFont="1" applyFill="1" applyBorder="1" applyAlignment="1">
      <alignment horizontal="right" vertical="center"/>
    </xf>
    <xf numFmtId="0" fontId="3" fillId="13" borderId="48" xfId="0" applyFont="1" applyFill="1" applyBorder="1" applyAlignment="1">
      <alignment horizontal="left" vertical="center"/>
    </xf>
    <xf numFmtId="0" fontId="0" fillId="0" borderId="50" xfId="0" applyBorder="1" applyAlignment="1">
      <alignmen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0" fillId="14" borderId="34" xfId="0" applyFill="1" applyBorder="1" applyAlignment="1">
      <alignment horizontal="left" vertical="center"/>
    </xf>
    <xf numFmtId="0" fontId="0" fillId="14" borderId="1" xfId="0" applyFill="1" applyBorder="1" applyAlignment="1">
      <alignment vertical="center"/>
    </xf>
    <xf numFmtId="0" fontId="0" fillId="3" borderId="19" xfId="0" applyFill="1" applyBorder="1" applyAlignment="1">
      <alignment vertical="center"/>
    </xf>
    <xf numFmtId="0" fontId="3" fillId="2" borderId="28" xfId="0" applyFont="1" applyFill="1" applyBorder="1" applyAlignment="1">
      <alignment horizontal="center"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10" fillId="0" borderId="19" xfId="0" applyFont="1" applyBorder="1" applyAlignment="1">
      <alignment vertical="center"/>
    </xf>
    <xf numFmtId="0" fontId="10" fillId="0" borderId="28" xfId="0" applyFont="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0" fillId="2" borderId="40" xfId="0" applyFill="1"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22" fillId="13" borderId="48" xfId="0" applyFont="1" applyFill="1" applyBorder="1" applyAlignment="1">
      <alignment horizontal="left" vertical="center"/>
    </xf>
    <xf numFmtId="0" fontId="0" fillId="13" borderId="19" xfId="0" applyFill="1" applyBorder="1" applyAlignment="1">
      <alignment horizontal="left" vertical="center"/>
    </xf>
    <xf numFmtId="0" fontId="0" fillId="13" borderId="28" xfId="0" applyFill="1" applyBorder="1" applyAlignment="1">
      <alignment horizontal="left"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48" fillId="0" borderId="7" xfId="0" applyFont="1" applyBorder="1" applyAlignment="1">
      <alignment horizontal="left" vertical="center"/>
    </xf>
    <xf numFmtId="0" fontId="48" fillId="0" borderId="1" xfId="0" applyFont="1" applyBorder="1" applyAlignment="1">
      <alignment horizontal="left" vertical="center"/>
    </xf>
    <xf numFmtId="0" fontId="48" fillId="0" borderId="13" xfId="0" applyFont="1" applyBorder="1" applyAlignment="1">
      <alignment horizontal="left" vertical="center"/>
    </xf>
    <xf numFmtId="0" fontId="48" fillId="0" borderId="73" xfId="0" applyFont="1" applyBorder="1" applyAlignment="1">
      <alignment horizontal="left" vertical="center"/>
    </xf>
    <xf numFmtId="0" fontId="48" fillId="0" borderId="11" xfId="0" applyFont="1" applyBorder="1" applyAlignment="1">
      <alignment horizontal="left" vertical="center"/>
    </xf>
    <xf numFmtId="0" fontId="48" fillId="0" borderId="12" xfId="0" applyFont="1" applyBorder="1" applyAlignment="1">
      <alignment horizontal="left" vertical="center"/>
    </xf>
    <xf numFmtId="0" fontId="3" fillId="2" borderId="14" xfId="0" applyFont="1" applyFill="1" applyBorder="1" applyAlignment="1">
      <alignment horizontal="center" vertical="center" wrapText="1"/>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0" fontId="3" fillId="2" borderId="22" xfId="0" applyFont="1" applyFill="1" applyBorder="1" applyAlignment="1">
      <alignment vertical="center"/>
    </xf>
    <xf numFmtId="0" fontId="3" fillId="2" borderId="50" xfId="0" applyFont="1" applyFill="1" applyBorder="1" applyAlignment="1">
      <alignment vertical="center"/>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8" xfId="0" applyBorder="1" applyAlignment="1">
      <alignment vertical="center"/>
    </xf>
    <xf numFmtId="0" fontId="0" fillId="0" borderId="19" xfId="0" applyBorder="1" applyAlignment="1">
      <alignment vertical="center"/>
    </xf>
    <xf numFmtId="0" fontId="0" fillId="0" borderId="28" xfId="0" applyBorder="1" applyAlignment="1">
      <alignment vertical="center"/>
    </xf>
    <xf numFmtId="44" fontId="3" fillId="2" borderId="48" xfId="0" applyNumberFormat="1" applyFont="1" applyFill="1" applyBorder="1" applyAlignment="1">
      <alignment horizontal="right" vertical="center"/>
    </xf>
    <xf numFmtId="44" fontId="3" fillId="2" borderId="28" xfId="0" applyNumberFormat="1" applyFont="1" applyFill="1" applyBorder="1" applyAlignment="1">
      <alignment horizontal="right" vertical="center"/>
    </xf>
    <xf numFmtId="0" fontId="9" fillId="0" borderId="48" xfId="0" applyFont="1" applyBorder="1" applyAlignment="1">
      <alignment horizontal="left" vertical="center"/>
    </xf>
    <xf numFmtId="0" fontId="48" fillId="0" borderId="54" xfId="0" applyFont="1" applyBorder="1" applyAlignment="1">
      <alignment horizontal="left" vertical="center"/>
    </xf>
    <xf numFmtId="0" fontId="48" fillId="0" borderId="46" xfId="0" applyFont="1" applyBorder="1" applyAlignment="1">
      <alignment horizontal="left" vertical="center"/>
    </xf>
    <xf numFmtId="0" fontId="48" fillId="0" borderId="58" xfId="0" applyFont="1" applyBorder="1" applyAlignment="1">
      <alignment horizontal="left" vertical="center"/>
    </xf>
    <xf numFmtId="0" fontId="71" fillId="0" borderId="48" xfId="2" applyFont="1" applyBorder="1" applyAlignment="1">
      <alignment vertical="center"/>
    </xf>
    <xf numFmtId="0" fontId="71" fillId="0" borderId="19" xfId="2" applyFont="1" applyBorder="1" applyAlignment="1">
      <alignment vertical="center"/>
    </xf>
    <xf numFmtId="0" fontId="71" fillId="0" borderId="28" xfId="2" applyFont="1" applyBorder="1" applyAlignment="1">
      <alignment vertical="center"/>
    </xf>
    <xf numFmtId="0" fontId="0" fillId="0" borderId="40" xfId="0" applyBorder="1" applyAlignment="1">
      <alignment vertical="center"/>
    </xf>
    <xf numFmtId="0" fontId="0" fillId="0" borderId="52" xfId="0" applyBorder="1" applyAlignment="1">
      <alignment horizontal="right" vertical="center"/>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0" fillId="0" borderId="48" xfId="0" applyBorder="1" applyAlignment="1">
      <alignment horizontal="center" vertical="center"/>
    </xf>
    <xf numFmtId="0" fontId="0" fillId="0" borderId="19" xfId="0" applyBorder="1" applyAlignment="1">
      <alignment horizontal="center" vertical="center"/>
    </xf>
    <xf numFmtId="0" fontId="3" fillId="3" borderId="49" xfId="0" applyFont="1" applyFill="1" applyBorder="1" applyAlignment="1">
      <alignment horizontal="right" vertical="center"/>
    </xf>
    <xf numFmtId="0" fontId="0" fillId="0" borderId="22" xfId="0" applyBorder="1" applyAlignment="1">
      <alignment horizontal="right" vertical="center"/>
    </xf>
    <xf numFmtId="0" fontId="3" fillId="2" borderId="48"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2" borderId="19" xfId="0" applyFont="1" applyFill="1" applyBorder="1" applyAlignment="1">
      <alignment horizontal="center" vertical="center"/>
    </xf>
    <xf numFmtId="0" fontId="3" fillId="2" borderId="4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0" fillId="0" borderId="48" xfId="0" applyFont="1" applyBorder="1" applyAlignment="1">
      <alignment vertical="center"/>
    </xf>
    <xf numFmtId="0" fontId="3" fillId="13" borderId="49" xfId="0" applyFont="1" applyFill="1" applyBorder="1" applyAlignment="1">
      <alignment horizontal="left" vertical="center" wrapText="1"/>
    </xf>
    <xf numFmtId="0" fontId="0" fillId="0" borderId="22"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29" xfId="0" applyBorder="1" applyAlignment="1">
      <alignment horizontal="left" vertical="center" wrapText="1"/>
    </xf>
    <xf numFmtId="0" fontId="0" fillId="0" borderId="1" xfId="0" applyBorder="1"/>
    <xf numFmtId="0" fontId="0" fillId="0" borderId="13" xfId="0" applyBorder="1"/>
    <xf numFmtId="0" fontId="0" fillId="0" borderId="20" xfId="0" applyBorder="1"/>
    <xf numFmtId="0" fontId="0" fillId="0" borderId="21" xfId="0" applyBorder="1"/>
    <xf numFmtId="0" fontId="3" fillId="2" borderId="49" xfId="0" applyFont="1" applyFill="1" applyBorder="1"/>
    <xf numFmtId="0" fontId="3" fillId="2" borderId="50" xfId="0" applyFont="1" applyFill="1" applyBorder="1"/>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50" xfId="0" applyNumberFormat="1" applyFont="1" applyFill="1" applyBorder="1" applyAlignment="1">
      <alignment horizontal="right" vertical="center"/>
    </xf>
    <xf numFmtId="0" fontId="3" fillId="13" borderId="48" xfId="0" applyFont="1" applyFill="1" applyBorder="1" applyAlignment="1">
      <alignment horizontal="right" vertical="center"/>
    </xf>
    <xf numFmtId="0" fontId="0" fillId="0" borderId="19" xfId="0"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71" fillId="0" borderId="44" xfId="2" applyFont="1" applyBorder="1" applyAlignment="1">
      <alignment vertical="center"/>
    </xf>
    <xf numFmtId="0" fontId="71" fillId="0" borderId="22" xfId="2" applyFont="1" applyBorder="1" applyAlignment="1">
      <alignment vertical="center"/>
    </xf>
    <xf numFmtId="0" fontId="71" fillId="0" borderId="50" xfId="2" applyFont="1" applyBorder="1" applyAlignment="1">
      <alignment vertical="center"/>
    </xf>
    <xf numFmtId="0" fontId="0" fillId="0" borderId="7" xfId="0" applyBorder="1" applyAlignment="1">
      <alignment vertical="center"/>
    </xf>
    <xf numFmtId="0" fontId="48" fillId="0" borderId="56" xfId="0" applyFont="1" applyBorder="1" applyAlignment="1">
      <alignment horizontal="left" vertical="center"/>
    </xf>
    <xf numFmtId="0" fontId="48" fillId="0" borderId="45" xfId="0" applyFont="1" applyBorder="1" applyAlignment="1">
      <alignment horizontal="left" vertical="center"/>
    </xf>
    <xf numFmtId="0" fontId="48" fillId="0" borderId="31" xfId="0" applyFont="1" applyBorder="1" applyAlignment="1">
      <alignment horizontal="left" vertical="center"/>
    </xf>
    <xf numFmtId="0" fontId="48" fillId="0" borderId="68" xfId="0" applyFont="1" applyBorder="1" applyAlignment="1">
      <alignment horizontal="left" vertical="center"/>
    </xf>
    <xf numFmtId="0" fontId="48" fillId="0" borderId="20" xfId="0" applyFont="1" applyBorder="1" applyAlignment="1">
      <alignment horizontal="left" vertical="center"/>
    </xf>
    <xf numFmtId="0" fontId="48" fillId="0" borderId="21" xfId="0" applyFont="1" applyBorder="1" applyAlignment="1">
      <alignment horizontal="left" vertical="center"/>
    </xf>
    <xf numFmtId="0" fontId="3" fillId="13" borderId="22" xfId="0" applyFont="1" applyFill="1" applyBorder="1" applyAlignment="1">
      <alignment horizontal="left" vertical="center" wrapText="1"/>
    </xf>
    <xf numFmtId="0" fontId="3" fillId="13" borderId="19" xfId="0" applyFont="1" applyFill="1" applyBorder="1" applyAlignment="1">
      <alignment horizontal="left" vertical="center" wrapText="1"/>
    </xf>
    <xf numFmtId="0" fontId="3" fillId="13" borderId="28" xfId="0" applyFont="1" applyFill="1" applyBorder="1" applyAlignment="1">
      <alignment horizontal="left" vertical="center" wrapText="1"/>
    </xf>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43" fillId="16" borderId="23" xfId="0"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42" fontId="32" fillId="16" borderId="45"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0" fillId="0" borderId="47" xfId="0" applyNumberFormat="1" applyBorder="1" applyAlignment="1">
      <alignment horizontal="center" vertical="center"/>
    </xf>
    <xf numFmtId="42" fontId="32" fillId="16" borderId="8"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26" xfId="0" applyNumberFormat="1" applyBorder="1" applyAlignment="1">
      <alignment horizontal="center" vertical="center"/>
    </xf>
    <xf numFmtId="42" fontId="43" fillId="0" borderId="9" xfId="0" applyNumberFormat="1" applyFont="1" applyBorder="1" applyAlignment="1">
      <alignment horizontal="center" vertical="center"/>
    </xf>
    <xf numFmtId="42" fontId="43" fillId="0" borderId="26" xfId="0" applyNumberFormat="1" applyFont="1" applyBorder="1" applyAlignment="1">
      <alignment horizontal="center" vertical="center"/>
    </xf>
    <xf numFmtId="42" fontId="32" fillId="16" borderId="15" xfId="0" applyNumberFormat="1" applyFont="1" applyFill="1" applyBorder="1" applyAlignment="1">
      <alignment horizontal="center" vertical="center"/>
    </xf>
    <xf numFmtId="42" fontId="32" fillId="16" borderId="9" xfId="0" applyNumberFormat="1" applyFont="1" applyFill="1" applyBorder="1" applyAlignment="1">
      <alignment horizontal="center" vertical="center"/>
    </xf>
    <xf numFmtId="42" fontId="32" fillId="16"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42" fontId="0" fillId="16" borderId="9" xfId="0" applyNumberFormat="1" applyFill="1" applyBorder="1" applyAlignment="1">
      <alignment horizontal="center" vertical="center"/>
    </xf>
    <xf numFmtId="42" fontId="0" fillId="16" borderId="10" xfId="0" applyNumberFormat="1" applyFill="1" applyBorder="1" applyAlignment="1">
      <alignment horizontal="center" vertical="center"/>
    </xf>
    <xf numFmtId="42" fontId="32" fillId="16" borderId="23" xfId="0" applyNumberFormat="1" applyFont="1" applyFill="1" applyBorder="1" applyAlignment="1">
      <alignment horizontal="center" vertical="center"/>
    </xf>
    <xf numFmtId="0" fontId="32" fillId="16" borderId="23" xfId="0" applyFont="1" applyFill="1" applyBorder="1" applyAlignment="1">
      <alignment horizontal="center" vertical="center"/>
    </xf>
    <xf numFmtId="0" fontId="3" fillId="16" borderId="14" xfId="0" applyFont="1" applyFill="1" applyBorder="1" applyAlignment="1">
      <alignment horizontal="center" vertical="center"/>
    </xf>
    <xf numFmtId="0" fontId="3" fillId="16" borderId="24" xfId="0" applyFont="1" applyFill="1" applyBorder="1" applyAlignment="1">
      <alignment horizontal="center" vertical="center"/>
    </xf>
    <xf numFmtId="0" fontId="9" fillId="21" borderId="44" xfId="0" applyFont="1" applyFill="1" applyBorder="1" applyAlignment="1">
      <alignment horizontal="left" vertical="center" wrapText="1"/>
    </xf>
    <xf numFmtId="0" fontId="0" fillId="21" borderId="44" xfId="0" applyFill="1" applyBorder="1" applyAlignment="1">
      <alignment horizontal="left" vertical="center" wrapText="1"/>
    </xf>
    <xf numFmtId="42" fontId="32" fillId="16" borderId="71" xfId="0" applyNumberFormat="1" applyFont="1" applyFill="1" applyBorder="1" applyAlignment="1">
      <alignment horizontal="center" vertical="center"/>
    </xf>
    <xf numFmtId="42" fontId="43" fillId="0" borderId="46" xfId="0" applyNumberFormat="1" applyFont="1" applyBorder="1" applyAlignment="1">
      <alignment horizontal="center" vertical="center"/>
    </xf>
    <xf numFmtId="42" fontId="43" fillId="0" borderId="47" xfId="0" applyNumberFormat="1" applyFont="1" applyBorder="1" applyAlignment="1">
      <alignment horizontal="center" vertical="center"/>
    </xf>
    <xf numFmtId="42" fontId="43" fillId="0" borderId="76" xfId="0" applyNumberFormat="1" applyFont="1" applyBorder="1" applyAlignment="1">
      <alignment horizontal="center" vertical="center"/>
    </xf>
    <xf numFmtId="42" fontId="43" fillId="0" borderId="10" xfId="0" applyNumberFormat="1" applyFont="1" applyBorder="1" applyAlignment="1">
      <alignment horizontal="center" vertical="center"/>
    </xf>
    <xf numFmtId="42" fontId="32" fillId="16" borderId="10" xfId="0" applyNumberFormat="1" applyFont="1" applyFill="1" applyBorder="1" applyAlignment="1">
      <alignment horizontal="center" vertical="center"/>
    </xf>
    <xf numFmtId="0" fontId="32" fillId="16" borderId="24" xfId="0" applyFont="1" applyFill="1" applyBorder="1" applyAlignment="1">
      <alignment horizontal="center" vertical="center"/>
    </xf>
    <xf numFmtId="0" fontId="3" fillId="14" borderId="1" xfId="0" applyFont="1" applyFill="1" applyBorder="1" applyAlignment="1">
      <alignment horizontal="right" vertical="center"/>
    </xf>
    <xf numFmtId="42" fontId="3" fillId="13" borderId="1" xfId="0" applyNumberFormat="1" applyFont="1" applyFill="1" applyBorder="1" applyAlignment="1">
      <alignment horizontal="right" vertical="center"/>
    </xf>
    <xf numFmtId="0" fontId="0" fillId="13" borderId="1" xfId="0" applyFill="1" applyBorder="1" applyAlignment="1">
      <alignment vertical="center"/>
    </xf>
    <xf numFmtId="42" fontId="31" fillId="0" borderId="1" xfId="0" applyNumberFormat="1" applyFont="1" applyBorder="1" applyAlignment="1">
      <alignment horizontal="left" vertical="center"/>
    </xf>
    <xf numFmtId="0" fontId="45" fillId="0" borderId="1" xfId="0" applyFont="1" applyBorder="1" applyAlignment="1">
      <alignment horizontal="left" vertical="center"/>
    </xf>
    <xf numFmtId="42" fontId="32" fillId="16" borderId="46" xfId="0" applyNumberFormat="1" applyFont="1" applyFill="1" applyBorder="1" applyAlignment="1">
      <alignment horizontal="center" vertical="center"/>
    </xf>
    <xf numFmtId="0" fontId="32" fillId="16"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2" fillId="16" borderId="14" xfId="0" applyFont="1" applyFill="1" applyBorder="1" applyAlignment="1">
      <alignment horizontal="center" vertical="center"/>
    </xf>
    <xf numFmtId="0" fontId="3" fillId="0" borderId="14" xfId="0" applyFont="1" applyBorder="1" applyAlignment="1">
      <alignment horizontal="center" vertical="center"/>
    </xf>
    <xf numFmtId="0" fontId="0" fillId="0" borderId="14" xfId="0" applyBorder="1" applyAlignment="1">
      <alignment vertical="center"/>
    </xf>
    <xf numFmtId="0" fontId="0" fillId="0" borderId="24" xfId="0" applyBorder="1" applyAlignment="1">
      <alignment vertical="center"/>
    </xf>
    <xf numFmtId="0" fontId="3" fillId="0" borderId="24" xfId="0" applyFont="1" applyBorder="1" applyAlignment="1">
      <alignment horizontal="center" vertical="center"/>
    </xf>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23" xfId="0" applyFont="1" applyFill="1" applyBorder="1" applyAlignment="1">
      <alignment horizontal="center" wrapText="1"/>
    </xf>
    <xf numFmtId="0" fontId="3" fillId="2" borderId="14" xfId="0" applyFont="1" applyFill="1" applyBorder="1" applyAlignment="1">
      <alignment horizontal="center" wrapText="1"/>
    </xf>
    <xf numFmtId="0" fontId="3" fillId="2" borderId="24" xfId="0" applyFont="1" applyFill="1" applyBorder="1" applyAlignment="1">
      <alignment horizontal="center" wrapText="1"/>
    </xf>
    <xf numFmtId="0" fontId="3" fillId="18" borderId="49" xfId="0" applyFont="1" applyFill="1" applyBorder="1" applyAlignment="1">
      <alignment horizontal="center" vertical="center" wrapText="1"/>
    </xf>
    <xf numFmtId="0" fontId="0" fillId="18" borderId="44" xfId="0" applyFill="1" applyBorder="1" applyAlignment="1">
      <alignment horizontal="center" vertical="center" wrapText="1"/>
    </xf>
    <xf numFmtId="0" fontId="0" fillId="18" borderId="51" xfId="0" applyFill="1" applyBorder="1" applyAlignment="1">
      <alignment horizontal="center" vertical="center" wrapText="1"/>
    </xf>
    <xf numFmtId="0" fontId="10" fillId="5" borderId="36"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4"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11" fillId="2" borderId="8" xfId="1" applyFont="1" applyFill="1" applyBorder="1" applyAlignment="1">
      <alignment horizontal="center" vertical="top" wrapText="1"/>
    </xf>
    <xf numFmtId="0" fontId="0" fillId="2" borderId="10" xfId="0" applyFill="1" applyBorder="1" applyAlignment="1">
      <alignment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22" xfId="0" applyFont="1" applyFill="1" applyBorder="1"/>
    <xf numFmtId="0" fontId="5" fillId="0" borderId="33" xfId="0" applyFont="1" applyBorder="1"/>
    <xf numFmtId="0" fontId="5" fillId="0" borderId="11" xfId="0" applyFont="1" applyBorder="1"/>
    <xf numFmtId="0" fontId="5" fillId="0" borderId="12" xfId="0" applyFont="1" applyBorder="1"/>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0" fillId="2" borderId="26" xfId="0" applyFill="1" applyBorder="1" applyAlignment="1">
      <alignment wrapText="1"/>
    </xf>
    <xf numFmtId="0" fontId="3" fillId="3" borderId="48" xfId="0" applyFont="1" applyFill="1" applyBorder="1"/>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51" xfId="0" applyFont="1" applyFill="1" applyBorder="1" applyAlignment="1">
      <alignment horizontal="center"/>
    </xf>
    <xf numFmtId="0" fontId="0" fillId="0" borderId="9" xfId="0" applyBorder="1" applyAlignment="1">
      <alignment horizontal="center" vertical="center" wrapText="1"/>
    </xf>
    <xf numFmtId="0" fontId="0" fillId="0" borderId="26" xfId="0" applyBorder="1" applyAlignment="1">
      <alignment horizontal="center" vertical="center" wrapText="1"/>
    </xf>
    <xf numFmtId="0" fontId="0" fillId="0" borderId="58" xfId="0" applyBorder="1" applyAlignment="1">
      <alignment horizontal="center" vertical="center" wrapText="1"/>
    </xf>
    <xf numFmtId="0" fontId="0" fillId="0" borderId="72" xfId="0" applyBorder="1" applyAlignment="1">
      <alignment horizontal="center" vertical="center" wrapText="1"/>
    </xf>
    <xf numFmtId="0" fontId="0" fillId="0" borderId="14" xfId="0" applyBorder="1" applyAlignment="1">
      <alignment horizontal="center" vertical="center" wrapText="1"/>
    </xf>
    <xf numFmtId="0" fontId="0" fillId="14" borderId="45" xfId="0" applyFill="1" applyBorder="1"/>
    <xf numFmtId="0" fontId="0" fillId="14" borderId="31" xfId="0" applyFill="1" applyBorder="1"/>
    <xf numFmtId="0" fontId="3" fillId="13" borderId="4" xfId="0" applyFont="1" applyFill="1" applyBorder="1" applyAlignment="1">
      <alignment horizontal="right"/>
    </xf>
    <xf numFmtId="0" fontId="3" fillId="13" borderId="40" xfId="0" applyFont="1" applyFill="1" applyBorder="1" applyAlignment="1">
      <alignment horizontal="right"/>
    </xf>
    <xf numFmtId="0" fontId="0" fillId="14" borderId="58" xfId="0" applyFill="1" applyBorder="1"/>
    <xf numFmtId="0" fontId="3" fillId="13" borderId="59" xfId="0" applyFont="1" applyFill="1" applyBorder="1" applyAlignment="1">
      <alignment horizontal="right"/>
    </xf>
    <xf numFmtId="0" fontId="3" fillId="13" borderId="67" xfId="0" applyFont="1" applyFill="1" applyBorder="1" applyAlignment="1">
      <alignment horizontal="right"/>
    </xf>
    <xf numFmtId="0" fontId="0" fillId="0" borderId="0" xfId="0"/>
    <xf numFmtId="42" fontId="0" fillId="14" borderId="36" xfId="0" applyNumberFormat="1" applyFill="1" applyBorder="1"/>
    <xf numFmtId="0" fontId="0" fillId="14" borderId="4" xfId="0" applyFill="1" applyBorder="1"/>
    <xf numFmtId="0" fontId="0" fillId="14" borderId="40" xfId="0" applyFill="1" applyBorder="1"/>
    <xf numFmtId="0" fontId="3" fillId="13" borderId="60" xfId="0" applyFont="1" applyFill="1" applyBorder="1"/>
    <xf numFmtId="0" fontId="3" fillId="13" borderId="61" xfId="0" applyFont="1" applyFill="1" applyBorder="1"/>
    <xf numFmtId="0" fontId="3" fillId="13" borderId="66" xfId="0" applyFont="1" applyFill="1" applyBorder="1"/>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3" borderId="36" xfId="0" applyFont="1" applyFill="1" applyBorder="1" applyAlignment="1">
      <alignment horizontal="right"/>
    </xf>
    <xf numFmtId="0" fontId="0" fillId="0" borderId="20" xfId="0" quotePrefix="1" applyBorder="1"/>
    <xf numFmtId="0" fontId="0" fillId="0" borderId="39" xfId="0" applyBorder="1"/>
    <xf numFmtId="0" fontId="27" fillId="2" borderId="19" xfId="0" applyFont="1" applyFill="1" applyBorder="1"/>
    <xf numFmtId="42" fontId="0" fillId="14" borderId="11" xfId="0" applyNumberFormat="1" applyFill="1" applyBorder="1"/>
    <xf numFmtId="42" fontId="0" fillId="14" borderId="1" xfId="0" applyNumberFormat="1" applyFill="1" applyBorder="1"/>
    <xf numFmtId="0" fontId="0" fillId="14" borderId="17" xfId="0" applyFill="1" applyBorder="1"/>
    <xf numFmtId="0" fontId="0" fillId="14" borderId="41" xfId="0" applyFill="1" applyBorder="1"/>
    <xf numFmtId="0" fontId="27" fillId="2" borderId="61" xfId="0" applyFont="1" applyFill="1" applyBorder="1"/>
    <xf numFmtId="0" fontId="27" fillId="2" borderId="66" xfId="0" applyFont="1" applyFill="1" applyBorder="1"/>
    <xf numFmtId="0" fontId="29" fillId="3" borderId="36" xfId="0" applyFont="1" applyFill="1" applyBorder="1" applyAlignment="1">
      <alignment horizontal="right"/>
    </xf>
    <xf numFmtId="0" fontId="29" fillId="3" borderId="4" xfId="0" applyFont="1" applyFill="1" applyBorder="1" applyAlignment="1">
      <alignment horizontal="right"/>
    </xf>
    <xf numFmtId="0" fontId="29" fillId="3" borderId="40" xfId="0" applyFont="1" applyFill="1" applyBorder="1" applyAlignment="1">
      <alignment horizontal="right"/>
    </xf>
    <xf numFmtId="0" fontId="0" fillId="0" borderId="11" xfId="0" quotePrefix="1" applyBorder="1"/>
    <xf numFmtId="0" fontId="0" fillId="0" borderId="11" xfId="0" applyBorder="1"/>
    <xf numFmtId="0" fontId="0" fillId="0" borderId="38" xfId="0" applyBorder="1"/>
    <xf numFmtId="42" fontId="29" fillId="2" borderId="36" xfId="0" applyNumberFormat="1" applyFont="1" applyFill="1" applyBorder="1" applyAlignment="1">
      <alignment horizontal="center"/>
    </xf>
    <xf numFmtId="0" fontId="29" fillId="2" borderId="4" xfId="0" applyFont="1" applyFill="1" applyBorder="1" applyAlignment="1">
      <alignment horizontal="center"/>
    </xf>
    <xf numFmtId="0" fontId="29" fillId="2" borderId="40" xfId="0" applyFont="1" applyFill="1" applyBorder="1" applyAlignment="1">
      <alignment horizontal="center"/>
    </xf>
    <xf numFmtId="0" fontId="3" fillId="3" borderId="61" xfId="0" applyFont="1" applyFill="1" applyBorder="1" applyAlignment="1">
      <alignment horizontal="right"/>
    </xf>
    <xf numFmtId="0" fontId="3" fillId="3" borderId="66" xfId="0" applyFont="1" applyFill="1" applyBorder="1" applyAlignment="1">
      <alignment horizontal="right"/>
    </xf>
    <xf numFmtId="0" fontId="3" fillId="3" borderId="4" xfId="0" applyFont="1" applyFill="1" applyBorder="1" applyAlignment="1">
      <alignment horizontal="right"/>
    </xf>
    <xf numFmtId="0" fontId="3" fillId="2" borderId="4" xfId="0" applyFont="1" applyFill="1" applyBorder="1"/>
    <xf numFmtId="0" fontId="3" fillId="2" borderId="40" xfId="0" applyFont="1" applyFill="1" applyBorder="1"/>
    <xf numFmtId="0" fontId="0" fillId="14" borderId="39" xfId="0" applyFill="1" applyBorder="1"/>
    <xf numFmtId="0" fontId="0" fillId="14" borderId="32" xfId="0" applyFill="1" applyBorder="1"/>
    <xf numFmtId="0" fontId="2" fillId="21" borderId="22" xfId="0" applyFont="1" applyFill="1" applyBorder="1"/>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3" fillId="13"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4" borderId="6" xfId="0" applyNumberFormat="1" applyFill="1" applyBorder="1"/>
    <xf numFmtId="0" fontId="3" fillId="3" borderId="5" xfId="0" applyFont="1" applyFill="1" applyBorder="1" applyAlignment="1">
      <alignment horizontal="right"/>
    </xf>
    <xf numFmtId="42" fontId="8" fillId="14" borderId="1" xfId="0" applyNumberFormat="1" applyFont="1" applyFill="1" applyBorder="1"/>
    <xf numFmtId="0" fontId="8" fillId="14" borderId="1" xfId="0" applyFont="1" applyFill="1" applyBorder="1"/>
    <xf numFmtId="0" fontId="8" fillId="14" borderId="37" xfId="0" applyFont="1" applyFill="1" applyBorder="1"/>
    <xf numFmtId="42" fontId="8" fillId="14" borderId="6" xfId="0" applyNumberFormat="1" applyFont="1" applyFill="1" applyBorder="1"/>
    <xf numFmtId="0" fontId="8" fillId="14" borderId="6" xfId="0" applyFont="1" applyFill="1" applyBorder="1"/>
    <xf numFmtId="0" fontId="8" fillId="14" borderId="42" xfId="0" applyFont="1" applyFill="1" applyBorder="1"/>
    <xf numFmtId="42" fontId="0" fillId="14" borderId="17" xfId="0" applyNumberFormat="1" applyFill="1" applyBorder="1"/>
    <xf numFmtId="0" fontId="3" fillId="0" borderId="22" xfId="0" applyFont="1" applyBorder="1" applyAlignment="1">
      <alignment wrapText="1"/>
    </xf>
    <xf numFmtId="0" fontId="3" fillId="0" borderId="50" xfId="0" applyFont="1" applyBorder="1" applyAlignment="1">
      <alignment wrapText="1"/>
    </xf>
    <xf numFmtId="0" fontId="3" fillId="0" borderId="44" xfId="0" applyFont="1" applyBorder="1" applyAlignment="1">
      <alignment wrapText="1"/>
    </xf>
    <xf numFmtId="0" fontId="3" fillId="0" borderId="0" xfId="0" applyFont="1" applyAlignment="1">
      <alignment wrapText="1"/>
    </xf>
    <xf numFmtId="0" fontId="3" fillId="0" borderId="30" xfId="0" applyFont="1" applyBorder="1" applyAlignment="1">
      <alignment wrapText="1"/>
    </xf>
    <xf numFmtId="0" fontId="3" fillId="0" borderId="51" xfId="0" applyFont="1" applyBorder="1" applyAlignment="1">
      <alignment wrapText="1"/>
    </xf>
    <xf numFmtId="0" fontId="3" fillId="0" borderId="52" xfId="0" applyFont="1" applyBorder="1" applyAlignment="1">
      <alignment wrapText="1"/>
    </xf>
    <xf numFmtId="0" fontId="3" fillId="0" borderId="29" xfId="0" applyFont="1" applyBorder="1" applyAlignment="1">
      <alignment wrapText="1"/>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49" xfId="0" applyNumberFormat="1" applyFont="1" applyFill="1" applyBorder="1" applyAlignment="1">
      <alignment horizontal="center"/>
    </xf>
    <xf numFmtId="42" fontId="0" fillId="0" borderId="50" xfId="0" applyNumberFormat="1" applyBorder="1" applyAlignment="1">
      <alignment horizontal="center"/>
    </xf>
    <xf numFmtId="42" fontId="0" fillId="0" borderId="77" xfId="0" applyNumberFormat="1" applyBorder="1" applyAlignment="1">
      <alignment horizontal="center"/>
    </xf>
    <xf numFmtId="42" fontId="40" fillId="14" borderId="48" xfId="0" applyNumberFormat="1" applyFont="1" applyFill="1" applyBorder="1" applyAlignment="1">
      <alignment horizontal="left"/>
    </xf>
    <xf numFmtId="42" fontId="40" fillId="14" borderId="28" xfId="0" applyNumberFormat="1" applyFont="1" applyFill="1" applyBorder="1" applyAlignment="1">
      <alignment horizontal="left"/>
    </xf>
    <xf numFmtId="42" fontId="3" fillId="2" borderId="22" xfId="0" applyNumberFormat="1" applyFont="1" applyFill="1" applyBorder="1" applyAlignment="1">
      <alignment horizontal="center"/>
    </xf>
    <xf numFmtId="0" fontId="3" fillId="0" borderId="48" xfId="0" applyFont="1" applyBorder="1"/>
    <xf numFmtId="0" fontId="0" fillId="10" borderId="1" xfId="0" applyFill="1" applyBorder="1"/>
    <xf numFmtId="0" fontId="0" fillId="10" borderId="13" xfId="0" applyFill="1" applyBorder="1"/>
    <xf numFmtId="0" fontId="0" fillId="10" borderId="20" xfId="0" applyFill="1" applyBorder="1"/>
    <xf numFmtId="0" fontId="0" fillId="10" borderId="21" xfId="0" applyFill="1" applyBorder="1"/>
    <xf numFmtId="0" fontId="0" fillId="14" borderId="20" xfId="0" applyFill="1" applyBorder="1"/>
    <xf numFmtId="0" fontId="3" fillId="2" borderId="19" xfId="0" applyFont="1" applyFill="1" applyBorder="1" applyAlignment="1">
      <alignment horizontal="center" vertical="center" wrapText="1"/>
    </xf>
    <xf numFmtId="0" fontId="0" fillId="5" borderId="4" xfId="0" applyFill="1" applyBorder="1"/>
    <xf numFmtId="0" fontId="0" fillId="5" borderId="25" xfId="0" applyFill="1" applyBorder="1"/>
    <xf numFmtId="0" fontId="0" fillId="5" borderId="67" xfId="0" applyFill="1" applyBorder="1"/>
    <xf numFmtId="0" fontId="0" fillId="14" borderId="2" xfId="0" applyFill="1" applyBorder="1"/>
    <xf numFmtId="0" fontId="0" fillId="14" borderId="27" xfId="0" applyFill="1" applyBorder="1"/>
  </cellXfs>
  <cellStyles count="3">
    <cellStyle name="Hyperlink" xfId="2" builtinId="8"/>
    <cellStyle name="Normal 2" xfId="1" xr:uid="{00000000-0005-0000-0000-000001000000}"/>
    <cellStyle name="Standaard" xfId="0" builtinId="0"/>
  </cellStyles>
  <dxfs count="145">
    <dxf>
      <fill>
        <patternFill>
          <bgColor rgb="FFFFC000"/>
        </patternFill>
      </fill>
    </dxf>
    <dxf>
      <fill>
        <patternFill>
          <bgColor rgb="FFFFC000"/>
        </patternFill>
      </fill>
    </dxf>
    <dxf>
      <fill>
        <patternFill>
          <bgColor theme="7" tint="0.79998168889431442"/>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EE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E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s>
  <tableStyles count="0" defaultTableStyle="TableStyleMedium2" defaultPivotStyle="PivotStyleLight16"/>
  <colors>
    <mruColors>
      <color rgb="FFCC99FF"/>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449036</xdr:colOff>
      <xdr:row>249</xdr:row>
      <xdr:rowOff>54429</xdr:rowOff>
    </xdr:from>
    <xdr:to>
      <xdr:col>19</xdr:col>
      <xdr:colOff>122464</xdr:colOff>
      <xdr:row>285</xdr:row>
      <xdr:rowOff>190500</xdr:rowOff>
    </xdr:to>
    <xdr:sp macro="" textlink="">
      <xdr:nvSpPr>
        <xdr:cNvPr id="2" name="Rechthoek 1">
          <a:extLst>
            <a:ext uri="{FF2B5EF4-FFF2-40B4-BE49-F238E27FC236}">
              <a16:creationId xmlns:a16="http://schemas.microsoft.com/office/drawing/2014/main" id="{93729656-ACD2-4ED3-CCC1-1BB5304895A5}"/>
            </a:ext>
          </a:extLst>
        </xdr:cNvPr>
        <xdr:cNvSpPr/>
      </xdr:nvSpPr>
      <xdr:spPr>
        <a:xfrm>
          <a:off x="16287750" y="49911000"/>
          <a:ext cx="13321393" cy="7293429"/>
        </a:xfrm>
        <a:prstGeom prst="rect">
          <a:avLst/>
        </a:prstGeom>
        <a:no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nl-NL" sz="1100"/>
        </a:p>
      </xdr:txBody>
    </xdr:sp>
    <xdr:clientData/>
  </xdr:twoCellAnchor>
  <xdr:twoCellAnchor>
    <xdr:from>
      <xdr:col>10</xdr:col>
      <xdr:colOff>357188</xdr:colOff>
      <xdr:row>63</xdr:row>
      <xdr:rowOff>130969</xdr:rowOff>
    </xdr:from>
    <xdr:to>
      <xdr:col>26</xdr:col>
      <xdr:colOff>71438</xdr:colOff>
      <xdr:row>92</xdr:row>
      <xdr:rowOff>130968</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5597188" y="12715875"/>
          <a:ext cx="25443656" cy="565546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357187</xdr:colOff>
      <xdr:row>111</xdr:row>
      <xdr:rowOff>116681</xdr:rowOff>
    </xdr:from>
    <xdr:to>
      <xdr:col>19</xdr:col>
      <xdr:colOff>154781</xdr:colOff>
      <xdr:row>130</xdr:row>
      <xdr:rowOff>40481</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5597187" y="22167056"/>
          <a:ext cx="14025563" cy="370998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71438</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5599228" y="18383251"/>
          <a:ext cx="25441616"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166</xdr:row>
      <xdr:rowOff>95250</xdr:rowOff>
    </xdr:from>
    <xdr:to>
      <xdr:col>10</xdr:col>
      <xdr:colOff>214312</xdr:colOff>
      <xdr:row>166</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107156</xdr:colOff>
      <xdr:row>18</xdr:row>
      <xdr:rowOff>190500</xdr:rowOff>
    </xdr:from>
    <xdr:to>
      <xdr:col>9</xdr:col>
      <xdr:colOff>773206</xdr:colOff>
      <xdr:row>38</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51038" y="3630706"/>
          <a:ext cx="6123315" cy="3971784"/>
        </a:xfrm>
        <a:prstGeom prst="straightConnector1">
          <a:avLst/>
        </a:prstGeom>
        <a:ln w="3810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2</v>
    <v>1</v>
    <v>1</v>
    <v>11</v>
  </rv>
  <rv s="1">
    <v>n.v.t</v>
    <v>2</v>
    <v>4</v>
    <v>5</v>
  </rv>
</rvData>
</file>

<file path=xl/richData/rdrichvaluestructure.xml><?xml version="1.0" encoding="utf-8"?>
<rvStructures xmlns="http://schemas.microsoft.com/office/spreadsheetml/2017/richdata" count="2">
  <s t="_error">
    <k n="errorType" t="i"/>
    <k n="iftab" t="i"/>
    <k n="propagated" t="b"/>
    <k n="ptg" t="i"/>
  </s>
  <s t="_error">
    <k n="argument" t="s"/>
    <k n="errorType" t="i"/>
    <k n="ptg" t="i"/>
    <k n="subType" t="i"/>
  </s>
</rvStructure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belastingdienst.nl/rekenhulpen/toeslagen/" TargetMode="External"/><Relationship Id="rId18"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6" Type="http://schemas.openxmlformats.org/officeDocument/2006/relationships/vmlDrawing" Target="../drawings/vmlDrawing1.vm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zakelijk/winst/inkomstenbelasting/inkomstenbelasting_voor_ondernemers/ondernemersaftrek/meewerkaftrek"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5" Type="http://schemas.openxmlformats.org/officeDocument/2006/relationships/drawing" Target="../drawings/drawing1.xml"/><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svb.nl/nl/aow/aow-leeftijd/uw-aow-leeftijd" TargetMode="External"/><Relationship Id="rId20" Type="http://schemas.openxmlformats.org/officeDocument/2006/relationships/hyperlink" Target="https://www.belastingdienst.nl/wps/wcm/connect/bldcontentnl/belastingdienst/prive/inkomstenbelasting/heffingskortingen_boxen_tarieven/heffingskortingen/arbeidskorting/arbeidskorting" TargetMode="Externa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rekenhulpen/toeslagen/" TargetMode="External"/><Relationship Id="rId24" Type="http://schemas.openxmlformats.org/officeDocument/2006/relationships/printerSettings" Target="../printerSettings/printerSettings3.bin"/><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rijksoverheid.nl/onderwerpen/hoger-onderwijs/vraag-en-antwoord/wanneer-moet-ik-collegegeld-betalen" TargetMode="External"/><Relationship Id="rId23" Type="http://schemas.openxmlformats.org/officeDocument/2006/relationships/hyperlink" Target="https://www.belastingdienst.nl/wps/wcm/connect/nl/box-3/content/box-3-inkomen-op-voorlopige-aanslag-2025" TargetMode="External"/><Relationship Id="rId10" Type="http://schemas.openxmlformats.org/officeDocument/2006/relationships/hyperlink" Target="https://www.zorgwijzer.nl/faq/wat-is-de-inkomensafhankelijke-bijdrage" TargetMode="External"/><Relationship Id="rId19" Type="http://schemas.openxmlformats.org/officeDocument/2006/relationships/hyperlink" Target="https://www.belastingdienst.nl/wps/wcm/connect/bldcontentnl/belastingdienst/prive/inkomstenbelasting/heffingskortingen_boxen_tarieven/heffingskortingen/algemene_heffingskorting/algemene_heffingskorting"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belastingdienst.nl/wps/wcm/connect/bldcontentnl/belastingdienst/prive/vermogen_en_aanmerkelijk_belang/vermogen/wat_zijn_uw_bezittingen_en_schulden/uw_schulden/drempel" TargetMode="External"/><Relationship Id="rId14" Type="http://schemas.openxmlformats.org/officeDocument/2006/relationships/hyperlink" Target="https://www.rijksoverheid.nl/onderwerpen/achttien-jaar-worden/vraag-en-antwoord/wanneer-moet-ik-lesgeld-betalen" TargetMode="External"/><Relationship Id="rId22" Type="http://schemas.openxmlformats.org/officeDocument/2006/relationships/hyperlink" Target="https://www.belastingdienst.nl/wps/wcm/connect/bldcontentnl/belastingdienst/prive/relatie_familie_en_gezondheid/gezondheid/aftrek_zorgkosten/hoe_berekent_u_uw_aftrek/drempelbedrag_berekenen/" TargetMode="External"/><Relationship Id="rId27"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1"/>
  <sheetViews>
    <sheetView showGridLines="0" tabSelected="1"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532"/>
      <c r="B1" s="533" t="s">
        <v>480</v>
      </c>
      <c r="C1" s="1420" t="s">
        <v>544</v>
      </c>
    </row>
    <row r="2" spans="1:3" ht="15.75" thickBot="1" x14ac:dyDescent="0.3">
      <c r="C2" s="619" t="str">
        <f>Basisgegevens!C22</f>
        <v>2025 - 1e halfjaar</v>
      </c>
    </row>
    <row r="3" spans="1:3" ht="15.75" thickBot="1" x14ac:dyDescent="0.3">
      <c r="A3" s="4" t="s">
        <v>484</v>
      </c>
      <c r="B3" s="4" t="s">
        <v>485</v>
      </c>
    </row>
    <row r="4" spans="1:3" ht="15.75" thickBot="1" x14ac:dyDescent="0.3">
      <c r="A4" s="8" t="s">
        <v>483</v>
      </c>
      <c r="B4" s="535" t="s">
        <v>482</v>
      </c>
    </row>
    <row r="5" spans="1:3" ht="28.9" customHeight="1" thickBot="1" x14ac:dyDescent="0.3">
      <c r="A5" s="543"/>
      <c r="B5" s="544" t="s">
        <v>1030</v>
      </c>
    </row>
    <row r="6" spans="1:3" ht="28.9" customHeight="1" thickBot="1" x14ac:dyDescent="0.3">
      <c r="A6" s="541"/>
      <c r="B6" s="542" t="s">
        <v>481</v>
      </c>
    </row>
    <row r="7" spans="1:3" ht="28.9" customHeight="1" thickBot="1" x14ac:dyDescent="0.3">
      <c r="A7" s="540"/>
      <c r="B7" s="537" t="s">
        <v>486</v>
      </c>
    </row>
    <row r="8" spans="1:3" ht="28.9" customHeight="1" thickBot="1" x14ac:dyDescent="0.3">
      <c r="A8" s="134"/>
      <c r="B8" s="537" t="s">
        <v>490</v>
      </c>
    </row>
    <row r="9" spans="1:3" ht="28.9" customHeight="1" thickBot="1" x14ac:dyDescent="0.3">
      <c r="A9" s="539"/>
      <c r="B9" s="537" t="s">
        <v>487</v>
      </c>
    </row>
    <row r="10" spans="1:3" ht="28.9" customHeight="1" thickBot="1" x14ac:dyDescent="0.3">
      <c r="A10" s="538"/>
      <c r="B10" s="537" t="s">
        <v>489</v>
      </c>
    </row>
    <row r="11" spans="1:3" ht="28.9" customHeight="1" thickBot="1" x14ac:dyDescent="0.3">
      <c r="A11" s="536"/>
      <c r="B11" s="537" t="s">
        <v>488</v>
      </c>
    </row>
    <row r="12" spans="1:3" ht="14.45" customHeight="1" thickBot="1" x14ac:dyDescent="0.3">
      <c r="A12" s="534"/>
      <c r="B12" s="534"/>
      <c r="C12" s="610"/>
    </row>
    <row r="13" spans="1:3" ht="21.75" thickBot="1" x14ac:dyDescent="0.35">
      <c r="A13" s="550"/>
      <c r="B13" s="1893" t="s">
        <v>491</v>
      </c>
      <c r="C13" s="551"/>
    </row>
    <row r="15" spans="1:3" ht="16.5" thickBot="1" x14ac:dyDescent="0.3">
      <c r="B15" s="406" t="s">
        <v>499</v>
      </c>
    </row>
    <row r="16" spans="1:3" ht="15.75" thickBot="1" x14ac:dyDescent="0.3">
      <c r="A16" s="545">
        <v>1</v>
      </c>
      <c r="B16" s="546" t="s">
        <v>932</v>
      </c>
      <c r="C16" s="547" t="s">
        <v>191</v>
      </c>
    </row>
    <row r="17" spans="1:9" x14ac:dyDescent="0.25">
      <c r="A17" s="170"/>
      <c r="B17" s="556" t="s">
        <v>1031</v>
      </c>
      <c r="C17" s="548"/>
      <c r="D17" s="2"/>
      <c r="E17" s="2"/>
      <c r="F17" s="2"/>
      <c r="G17" s="2"/>
      <c r="H17" s="2"/>
      <c r="I17" s="2"/>
    </row>
    <row r="18" spans="1:9" ht="60" x14ac:dyDescent="0.25">
      <c r="A18" s="191"/>
      <c r="B18" s="568" t="s">
        <v>508</v>
      </c>
      <c r="C18" s="396" t="s">
        <v>492</v>
      </c>
      <c r="D18" s="2"/>
      <c r="E18" s="2"/>
      <c r="F18" s="2"/>
      <c r="G18" s="2"/>
      <c r="H18" s="2"/>
      <c r="I18" s="2"/>
    </row>
    <row r="19" spans="1:9" x14ac:dyDescent="0.25">
      <c r="A19" s="191" t="s">
        <v>496</v>
      </c>
      <c r="B19" s="553" t="s">
        <v>493</v>
      </c>
      <c r="C19" s="396"/>
      <c r="D19" s="2"/>
      <c r="E19" s="2"/>
      <c r="F19" s="2"/>
      <c r="G19" s="2"/>
      <c r="H19" s="2"/>
      <c r="I19" s="2"/>
    </row>
    <row r="20" spans="1:9" ht="270" x14ac:dyDescent="0.25">
      <c r="A20" s="191"/>
      <c r="B20" s="557" t="s">
        <v>933</v>
      </c>
      <c r="C20" s="549" t="s">
        <v>561</v>
      </c>
      <c r="D20" s="2"/>
      <c r="E20" s="2"/>
      <c r="F20" s="2"/>
      <c r="G20" s="2"/>
      <c r="H20" s="2"/>
      <c r="I20" s="2"/>
    </row>
    <row r="21" spans="1:9" x14ac:dyDescent="0.25">
      <c r="A21" s="191" t="s">
        <v>497</v>
      </c>
      <c r="B21" s="553" t="s">
        <v>494</v>
      </c>
      <c r="C21" s="505"/>
      <c r="D21" s="2"/>
      <c r="E21" s="2"/>
      <c r="F21" s="2"/>
      <c r="G21" s="2"/>
      <c r="H21" s="2"/>
      <c r="I21" s="2"/>
    </row>
    <row r="22" spans="1:9" ht="45.75" thickBot="1" x14ac:dyDescent="0.3">
      <c r="A22" s="9"/>
      <c r="B22" s="558" t="s">
        <v>934</v>
      </c>
      <c r="C22" s="506"/>
      <c r="D22" s="2"/>
      <c r="E22" s="2"/>
      <c r="F22" s="2"/>
      <c r="G22" s="2"/>
      <c r="H22" s="2"/>
      <c r="I22" s="2"/>
    </row>
    <row r="23" spans="1:9" ht="15.75" thickBot="1" x14ac:dyDescent="0.3">
      <c r="B23" s="2"/>
      <c r="C23" s="2"/>
      <c r="D23" s="2"/>
      <c r="E23" s="2"/>
      <c r="F23" s="2"/>
      <c r="G23" s="2"/>
      <c r="H23" s="2"/>
      <c r="I23" s="2"/>
    </row>
    <row r="24" spans="1:9" ht="15.75" thickBot="1" x14ac:dyDescent="0.3">
      <c r="A24" s="545" t="s">
        <v>769</v>
      </c>
      <c r="B24" s="546" t="s">
        <v>495</v>
      </c>
      <c r="C24" s="547" t="s">
        <v>191</v>
      </c>
      <c r="D24" s="2"/>
      <c r="E24" s="2"/>
      <c r="F24" s="2"/>
      <c r="G24" s="2"/>
      <c r="H24" s="2"/>
      <c r="I24" s="2"/>
    </row>
    <row r="25" spans="1:9" ht="28.9" customHeight="1" x14ac:dyDescent="0.25">
      <c r="A25" s="555"/>
      <c r="B25" s="1417" t="s">
        <v>935</v>
      </c>
      <c r="C25" s="1132" t="s">
        <v>498</v>
      </c>
      <c r="D25" s="2"/>
      <c r="E25" s="2"/>
      <c r="F25" s="2"/>
      <c r="G25" s="2"/>
      <c r="H25" s="2"/>
      <c r="I25" s="2"/>
    </row>
    <row r="26" spans="1:9" ht="30" x14ac:dyDescent="0.25">
      <c r="A26" s="876"/>
      <c r="B26" s="1455" t="s">
        <v>771</v>
      </c>
      <c r="C26" s="1454"/>
    </row>
    <row r="27" spans="1:9" ht="15.75" thickBot="1" x14ac:dyDescent="0.3">
      <c r="B27" s="2"/>
      <c r="C27" s="2"/>
      <c r="D27" s="2"/>
      <c r="E27" s="2"/>
      <c r="F27" s="2"/>
      <c r="G27" s="2"/>
      <c r="H27" s="2"/>
      <c r="I27" s="2"/>
    </row>
    <row r="28" spans="1:9" ht="15.75" thickBot="1" x14ac:dyDescent="0.3">
      <c r="A28" s="545" t="s">
        <v>770</v>
      </c>
      <c r="B28" s="546" t="s">
        <v>825</v>
      </c>
      <c r="C28" s="547" t="s">
        <v>191</v>
      </c>
      <c r="D28" s="2"/>
      <c r="E28" s="2"/>
      <c r="F28" s="2"/>
      <c r="G28" s="2"/>
      <c r="H28" s="2"/>
      <c r="I28" s="2"/>
    </row>
    <row r="29" spans="1:9" ht="30" x14ac:dyDescent="0.25">
      <c r="A29" s="2617"/>
      <c r="B29" s="1415" t="s">
        <v>936</v>
      </c>
      <c r="C29" s="548"/>
    </row>
    <row r="30" spans="1:9" ht="60" customHeight="1" thickBot="1" x14ac:dyDescent="0.3">
      <c r="A30" s="2618"/>
      <c r="B30" s="1418" t="s">
        <v>937</v>
      </c>
      <c r="C30" s="1416" t="s">
        <v>498</v>
      </c>
    </row>
    <row r="31" spans="1:9" ht="15.75" thickBot="1" x14ac:dyDescent="0.3">
      <c r="B31" s="2"/>
      <c r="C31" s="2"/>
      <c r="D31" s="2"/>
      <c r="E31" s="2"/>
      <c r="F31" s="2"/>
      <c r="G31" s="2"/>
      <c r="H31" s="2"/>
      <c r="I31" s="2"/>
    </row>
    <row r="32" spans="1:9" ht="15.75" thickBot="1" x14ac:dyDescent="0.3">
      <c r="A32" s="545">
        <v>3</v>
      </c>
      <c r="B32" s="546" t="s">
        <v>1034</v>
      </c>
      <c r="C32" s="547" t="s">
        <v>191</v>
      </c>
      <c r="D32" s="2"/>
      <c r="E32" s="2"/>
      <c r="F32" s="2"/>
      <c r="G32" s="2"/>
      <c r="H32" s="2"/>
      <c r="I32" s="2"/>
    </row>
    <row r="33" spans="1:9" ht="45.75" thickBot="1" x14ac:dyDescent="0.3">
      <c r="A33" s="1456"/>
      <c r="B33" s="1457" t="s">
        <v>1032</v>
      </c>
      <c r="C33" s="1458"/>
      <c r="D33" s="2"/>
      <c r="E33" s="2"/>
      <c r="F33" s="2"/>
      <c r="G33" s="2"/>
      <c r="H33" s="2"/>
      <c r="I33" s="2"/>
    </row>
    <row r="34" spans="1:9" ht="45.75" thickBot="1" x14ac:dyDescent="0.3">
      <c r="A34" s="1892"/>
      <c r="B34" s="1459" t="s">
        <v>1033</v>
      </c>
      <c r="C34" s="1460" t="s">
        <v>509</v>
      </c>
      <c r="D34" s="2"/>
      <c r="E34" s="2"/>
      <c r="F34" s="2"/>
      <c r="G34" s="2"/>
      <c r="H34" s="2"/>
      <c r="I34" s="2"/>
    </row>
    <row r="35" spans="1:9" ht="15.75" thickBot="1" x14ac:dyDescent="0.3"/>
    <row r="36" spans="1:9" ht="15.75" thickBot="1" x14ac:dyDescent="0.3">
      <c r="A36" s="545"/>
      <c r="B36" s="546" t="s">
        <v>501</v>
      </c>
      <c r="C36" s="547" t="s">
        <v>191</v>
      </c>
    </row>
    <row r="37" spans="1:9" x14ac:dyDescent="0.25">
      <c r="A37" s="555"/>
      <c r="B37" s="552" t="s">
        <v>500</v>
      </c>
      <c r="C37" s="548"/>
    </row>
    <row r="38" spans="1:9" x14ac:dyDescent="0.25">
      <c r="A38" s="169"/>
      <c r="B38" s="553" t="s">
        <v>512</v>
      </c>
      <c r="C38" s="396"/>
    </row>
    <row r="39" spans="1:9" x14ac:dyDescent="0.25">
      <c r="A39" s="169"/>
      <c r="B39" s="553" t="s">
        <v>888</v>
      </c>
      <c r="C39" s="396"/>
    </row>
    <row r="40" spans="1:9" x14ac:dyDescent="0.25">
      <c r="A40" s="169"/>
      <c r="B40" s="553" t="s">
        <v>889</v>
      </c>
      <c r="C40" s="396"/>
    </row>
    <row r="41" spans="1:9" ht="15.75" thickBot="1" x14ac:dyDescent="0.3">
      <c r="A41" s="7"/>
      <c r="B41" s="554" t="s">
        <v>890</v>
      </c>
      <c r="C41" s="418"/>
    </row>
    <row r="42" spans="1:9" ht="15.75" thickBot="1" x14ac:dyDescent="0.3"/>
    <row r="43" spans="1:9" ht="19.5" thickBot="1" x14ac:dyDescent="0.35">
      <c r="A43" s="561"/>
      <c r="B43" s="559" t="s">
        <v>502</v>
      </c>
      <c r="C43" s="560"/>
    </row>
    <row r="44" spans="1:9" ht="28.9" customHeight="1" x14ac:dyDescent="0.25">
      <c r="A44" s="564" t="s">
        <v>507</v>
      </c>
      <c r="B44" s="2619" t="s">
        <v>891</v>
      </c>
      <c r="C44" s="2620"/>
    </row>
    <row r="45" spans="1:9" ht="28.9" customHeight="1" thickBot="1" x14ac:dyDescent="0.3">
      <c r="A45" s="565" t="s">
        <v>506</v>
      </c>
      <c r="B45" s="2621" t="s">
        <v>503</v>
      </c>
      <c r="C45" s="2622"/>
    </row>
    <row r="46" spans="1:9" ht="15.75" thickBot="1" x14ac:dyDescent="0.3"/>
    <row r="47" spans="1:9" ht="19.5" thickBot="1" x14ac:dyDescent="0.35">
      <c r="A47" s="566"/>
      <c r="B47" s="562" t="s">
        <v>504</v>
      </c>
      <c r="C47" s="563"/>
    </row>
    <row r="48" spans="1:9" ht="37.15" customHeight="1" thickBot="1" x14ac:dyDescent="0.35">
      <c r="A48" s="567" t="s">
        <v>505</v>
      </c>
      <c r="B48" s="2623" t="s">
        <v>938</v>
      </c>
      <c r="C48" s="2624"/>
    </row>
    <row r="49" spans="1:3" ht="15.75" thickBot="1" x14ac:dyDescent="0.3"/>
    <row r="50" spans="1:3" ht="19.5" thickBot="1" x14ac:dyDescent="0.35">
      <c r="A50" s="1419"/>
      <c r="B50" s="2627" t="s">
        <v>517</v>
      </c>
      <c r="C50" s="2628"/>
    </row>
    <row r="51" spans="1:3" ht="54.95" customHeight="1" thickBot="1" x14ac:dyDescent="0.3">
      <c r="A51" s="567" t="s">
        <v>505</v>
      </c>
      <c r="B51" s="2625" t="s">
        <v>826</v>
      </c>
      <c r="C51" s="2626"/>
    </row>
  </sheetData>
  <sheetProtection algorithmName="SHA-512" hashValue="fmwru1dAaPYYoxgP2fTy4OgYJvjDV2AwcfWAstwL+C9TWwequci5g5ZnFTRBdhqRUX/apWc9EGIPeYWTtmclsA==" saltValue="zyYkGhPTEKP7HVYKj+atXw==" spinCount="100000" sheet="1" objects="1" scenarios="1"/>
  <mergeCells count="6">
    <mergeCell ref="A29:A30"/>
    <mergeCell ref="B44:C44"/>
    <mergeCell ref="B45:C45"/>
    <mergeCell ref="B48:C48"/>
    <mergeCell ref="B51:C51"/>
    <mergeCell ref="B50:C5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C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56" customWidth="1"/>
    <col min="2" max="2" width="105.7109375" customWidth="1"/>
    <col min="3" max="3" width="8.7109375" style="256" bestFit="1" customWidth="1"/>
  </cols>
  <sheetData>
    <row r="1" spans="1:3" ht="21.75" thickBot="1" x14ac:dyDescent="0.4">
      <c r="A1" s="260"/>
      <c r="B1" s="1923" t="s">
        <v>329</v>
      </c>
      <c r="C1" s="261"/>
    </row>
    <row r="2" spans="1:3" ht="15.75" thickBot="1" x14ac:dyDescent="0.3"/>
    <row r="3" spans="1:3" ht="15.75" thickBot="1" x14ac:dyDescent="0.3">
      <c r="A3" s="257" t="s">
        <v>328</v>
      </c>
      <c r="B3" s="397" t="s">
        <v>70</v>
      </c>
      <c r="C3" s="390" t="s">
        <v>330</v>
      </c>
    </row>
    <row r="4" spans="1:3" x14ac:dyDescent="0.25">
      <c r="A4" s="389">
        <v>45660</v>
      </c>
      <c r="B4" s="398" t="s">
        <v>1021</v>
      </c>
      <c r="C4" s="401" t="s">
        <v>560</v>
      </c>
    </row>
    <row r="5" spans="1:3" x14ac:dyDescent="0.25">
      <c r="A5" s="258">
        <v>45716</v>
      </c>
      <c r="B5" s="399" t="s">
        <v>1133</v>
      </c>
      <c r="C5" s="402" t="s">
        <v>1136</v>
      </c>
    </row>
    <row r="6" spans="1:3" x14ac:dyDescent="0.25">
      <c r="A6" s="258">
        <v>45716</v>
      </c>
      <c r="B6" s="399" t="s">
        <v>1134</v>
      </c>
      <c r="C6" s="402" t="s">
        <v>1136</v>
      </c>
    </row>
    <row r="7" spans="1:3" x14ac:dyDescent="0.25">
      <c r="A7" s="258">
        <v>45716</v>
      </c>
      <c r="B7" s="399" t="s">
        <v>1135</v>
      </c>
      <c r="C7" s="402" t="s">
        <v>1136</v>
      </c>
    </row>
    <row r="8" spans="1:3" x14ac:dyDescent="0.25">
      <c r="A8" s="258">
        <v>45724</v>
      </c>
      <c r="B8" s="399" t="s">
        <v>1153</v>
      </c>
      <c r="C8" s="402" t="s">
        <v>1136</v>
      </c>
    </row>
    <row r="9" spans="1:3" x14ac:dyDescent="0.25">
      <c r="A9" s="258">
        <v>45751</v>
      </c>
      <c r="B9" s="399" t="s">
        <v>1163</v>
      </c>
      <c r="C9" s="402" t="s">
        <v>1162</v>
      </c>
    </row>
    <row r="10" spans="1:3" x14ac:dyDescent="0.25">
      <c r="A10" s="258"/>
      <c r="B10" s="399"/>
      <c r="C10" s="402"/>
    </row>
    <row r="11" spans="1:3" x14ac:dyDescent="0.25">
      <c r="A11" s="258"/>
      <c r="B11" s="399"/>
      <c r="C11" s="402"/>
    </row>
    <row r="12" spans="1:3" x14ac:dyDescent="0.25">
      <c r="A12" s="258"/>
      <c r="B12" s="399"/>
      <c r="C12" s="402"/>
    </row>
    <row r="13" spans="1:3" x14ac:dyDescent="0.25">
      <c r="A13" s="258"/>
      <c r="B13" s="399"/>
      <c r="C13" s="402"/>
    </row>
    <row r="14" spans="1:3" x14ac:dyDescent="0.25">
      <c r="A14" s="258"/>
      <c r="B14" s="399"/>
      <c r="C14" s="402"/>
    </row>
    <row r="15" spans="1:3" x14ac:dyDescent="0.25">
      <c r="A15" s="258"/>
      <c r="B15" s="399"/>
      <c r="C15" s="402"/>
    </row>
    <row r="16" spans="1:3" x14ac:dyDescent="0.25">
      <c r="A16" s="258"/>
      <c r="B16" s="399"/>
      <c r="C16" s="402"/>
    </row>
    <row r="17" spans="1:3" x14ac:dyDescent="0.25">
      <c r="A17" s="258"/>
      <c r="B17" s="399"/>
      <c r="C17" s="402"/>
    </row>
    <row r="18" spans="1:3" x14ac:dyDescent="0.25">
      <c r="A18" s="258"/>
      <c r="B18" s="399"/>
      <c r="C18" s="402"/>
    </row>
    <row r="19" spans="1:3" x14ac:dyDescent="0.25">
      <c r="A19" s="258"/>
      <c r="B19" s="399"/>
      <c r="C19" s="402"/>
    </row>
    <row r="20" spans="1:3" x14ac:dyDescent="0.25">
      <c r="A20" s="258"/>
      <c r="B20" s="399"/>
      <c r="C20" s="402"/>
    </row>
    <row r="21" spans="1:3" x14ac:dyDescent="0.25">
      <c r="A21" s="258"/>
      <c r="B21" s="399"/>
      <c r="C21" s="402"/>
    </row>
    <row r="22" spans="1:3" x14ac:dyDescent="0.25">
      <c r="A22" s="258"/>
      <c r="B22" s="399"/>
      <c r="C22" s="402"/>
    </row>
    <row r="23" spans="1:3" x14ac:dyDescent="0.25">
      <c r="A23" s="258"/>
      <c r="B23" s="399"/>
      <c r="C23" s="402"/>
    </row>
    <row r="24" spans="1:3" x14ac:dyDescent="0.25">
      <c r="A24" s="258"/>
      <c r="B24" s="399"/>
      <c r="C24" s="402"/>
    </row>
    <row r="25" spans="1:3" x14ac:dyDescent="0.25">
      <c r="A25" s="258"/>
      <c r="B25" s="399"/>
      <c r="C25" s="402"/>
    </row>
    <row r="26" spans="1:3" x14ac:dyDescent="0.25">
      <c r="A26" s="258"/>
      <c r="B26" s="399"/>
      <c r="C26" s="402"/>
    </row>
    <row r="27" spans="1:3" x14ac:dyDescent="0.25">
      <c r="A27" s="2045"/>
      <c r="B27" s="2046"/>
      <c r="C27" s="2047"/>
    </row>
    <row r="28" spans="1:3" x14ac:dyDescent="0.25">
      <c r="A28" s="2045"/>
      <c r="B28" s="2046"/>
      <c r="C28" s="2047"/>
    </row>
    <row r="29" spans="1:3" x14ac:dyDescent="0.25">
      <c r="A29" s="2045"/>
      <c r="B29" s="2046"/>
      <c r="C29" s="2047"/>
    </row>
    <row r="30" spans="1:3" x14ac:dyDescent="0.25">
      <c r="A30" s="2045"/>
      <c r="B30" s="2046"/>
      <c r="C30" s="2047"/>
    </row>
    <row r="31" spans="1:3" x14ac:dyDescent="0.25">
      <c r="A31" s="2045"/>
      <c r="B31" s="2046"/>
      <c r="C31" s="2047"/>
    </row>
    <row r="32" spans="1:3" x14ac:dyDescent="0.25">
      <c r="A32" s="2045"/>
      <c r="B32" s="2046"/>
      <c r="C32" s="2047"/>
    </row>
    <row r="33" spans="1:3" ht="15.75" thickBot="1" x14ac:dyDescent="0.3">
      <c r="A33" s="259"/>
      <c r="B33" s="400"/>
      <c r="C33" s="403"/>
    </row>
  </sheetData>
  <sheetProtection algorithmName="SHA-512" hashValue="H4aD9gp+URNIbhqGO+YUslFiz9YtfgLzdTVyxDPIBCMSM4cVHIQll+51IGojnUBiDP1xU+c1BMazQ2MhrK0HQA==" saltValue="QtW2heYDBRKoqRS9h3dyaA==" spinCount="100000" sheet="1" objects="1" scenarios="1"/>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9"/>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21.28515625" bestFit="1" customWidth="1"/>
    <col min="16" max="16" width="1.7109375" customWidth="1"/>
    <col min="17" max="17" width="25.28515625" bestFit="1" customWidth="1"/>
    <col min="18" max="18" width="25.5703125" bestFit="1" customWidth="1"/>
    <col min="19" max="19" width="1.7109375" customWidth="1"/>
    <col min="20" max="20" width="16.85546875" bestFit="1" customWidth="1"/>
  </cols>
  <sheetData>
    <row r="1" spans="1:20" ht="15.75" thickBot="1" x14ac:dyDescent="0.3">
      <c r="A1" s="216" t="s">
        <v>783</v>
      </c>
      <c r="C1" s="216" t="s">
        <v>782</v>
      </c>
      <c r="E1" s="216" t="s">
        <v>781</v>
      </c>
      <c r="G1" s="216" t="s">
        <v>104</v>
      </c>
      <c r="I1" s="119" t="s">
        <v>245</v>
      </c>
      <c r="K1" s="119" t="s">
        <v>256</v>
      </c>
      <c r="M1" s="119" t="s">
        <v>57</v>
      </c>
      <c r="O1" s="119" t="s">
        <v>565</v>
      </c>
      <c r="Q1" s="217" t="s">
        <v>312</v>
      </c>
      <c r="R1" s="119" t="s">
        <v>625</v>
      </c>
      <c r="T1" s="119" t="s">
        <v>632</v>
      </c>
    </row>
    <row r="2" spans="1:20" x14ac:dyDescent="0.25">
      <c r="A2" s="555" t="s">
        <v>91</v>
      </c>
      <c r="C2" s="555" t="s">
        <v>91</v>
      </c>
      <c r="E2" s="555" t="s">
        <v>91</v>
      </c>
      <c r="G2" s="10" t="s">
        <v>105</v>
      </c>
      <c r="I2" s="170">
        <v>0</v>
      </c>
      <c r="K2" s="129">
        <v>0</v>
      </c>
      <c r="M2" s="129">
        <v>0.6</v>
      </c>
      <c r="O2" s="873" t="s">
        <v>563</v>
      </c>
      <c r="Q2" s="1054" t="s">
        <v>431</v>
      </c>
      <c r="R2" s="1056" t="str">
        <f>Basisgegevens!C4</f>
        <v>A. Plichtig</v>
      </c>
      <c r="T2" s="873" t="s">
        <v>57</v>
      </c>
    </row>
    <row r="3" spans="1:20" ht="15.75" thickBot="1" x14ac:dyDescent="0.3">
      <c r="A3" s="788" t="s">
        <v>92</v>
      </c>
      <c r="C3" s="788" t="s">
        <v>92</v>
      </c>
      <c r="E3" s="7" t="s">
        <v>168</v>
      </c>
      <c r="G3" s="9" t="s">
        <v>106</v>
      </c>
      <c r="I3" s="9">
        <v>1</v>
      </c>
      <c r="K3" s="130">
        <v>0.05</v>
      </c>
      <c r="M3" s="131">
        <v>0.45</v>
      </c>
      <c r="O3" s="169" t="s">
        <v>573</v>
      </c>
      <c r="Q3" s="1055" t="s">
        <v>430</v>
      </c>
      <c r="R3" s="1057" t="str">
        <f>Basisgegevens!D4</f>
        <v>A. Gerechtigd</v>
      </c>
      <c r="T3" s="7" t="s">
        <v>633</v>
      </c>
    </row>
    <row r="4" spans="1:20" ht="15.75" thickBot="1" x14ac:dyDescent="0.3">
      <c r="A4" s="7" t="s">
        <v>93</v>
      </c>
      <c r="C4" s="169" t="s">
        <v>552</v>
      </c>
      <c r="K4" s="130">
        <v>0.15</v>
      </c>
      <c r="O4" s="169" t="s">
        <v>564</v>
      </c>
      <c r="R4" s="1053" t="s">
        <v>647</v>
      </c>
    </row>
    <row r="5" spans="1:20" ht="15.75" thickBot="1" x14ac:dyDescent="0.3">
      <c r="C5" s="7" t="s">
        <v>93</v>
      </c>
      <c r="K5" s="130">
        <v>0.25</v>
      </c>
      <c r="O5" s="169" t="s">
        <v>753</v>
      </c>
    </row>
    <row r="6" spans="1:20" x14ac:dyDescent="0.25">
      <c r="K6" s="130">
        <v>0.35</v>
      </c>
      <c r="O6" s="876" t="s">
        <v>1010</v>
      </c>
    </row>
    <row r="7" spans="1:20" ht="15.75" thickBot="1" x14ac:dyDescent="0.3">
      <c r="K7" s="131">
        <v>0.45</v>
      </c>
      <c r="O7" s="876" t="s">
        <v>1011</v>
      </c>
    </row>
    <row r="8" spans="1:20" x14ac:dyDescent="0.25">
      <c r="K8" s="2168"/>
      <c r="O8" s="876" t="s">
        <v>754</v>
      </c>
    </row>
    <row r="9" spans="1:20" ht="15.75" thickBot="1" x14ac:dyDescent="0.3">
      <c r="O9" s="7" t="s">
        <v>567</v>
      </c>
    </row>
  </sheetData>
  <sheetProtection algorithmName="SHA-512" hashValue="XVpz/5+4rs55DeXLAbgDogcZYTnlh8as08oMKaBDvja0XegW4uFKyyZCjEfQR/E+D2gwcAW0x8bJqKJhzFgbNg==" saltValue="2ptL/b5XYYAwTZVraHMU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19" customWidth="1"/>
    <col min="2" max="2" width="23.7109375" customWidth="1"/>
    <col min="3" max="3" width="25.7109375" style="219" customWidth="1"/>
    <col min="4" max="4" width="20.7109375" customWidth="1"/>
    <col min="5" max="8" width="22.7109375" style="219"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60"/>
      <c r="B1" s="1923" t="s">
        <v>304</v>
      </c>
      <c r="C1" s="1934"/>
      <c r="D1" s="1934"/>
      <c r="E1" s="1934"/>
      <c r="F1" s="1934"/>
      <c r="G1" s="1934"/>
      <c r="H1" s="1935"/>
    </row>
    <row r="2" spans="1:12" ht="15.75" thickBot="1" x14ac:dyDescent="0.3"/>
    <row r="3" spans="1:12" ht="16.5" thickBot="1" x14ac:dyDescent="0.3">
      <c r="B3" s="2668" t="s">
        <v>317</v>
      </c>
      <c r="C3" s="2669"/>
      <c r="D3" s="751">
        <f>Basisgegevens!C16</f>
        <v>45658</v>
      </c>
      <c r="F3" s="428" t="s">
        <v>421</v>
      </c>
      <c r="G3" s="2670" t="str">
        <f>Basisgegevens!C22</f>
        <v>2025 - 1e halfjaar</v>
      </c>
      <c r="H3" s="2671"/>
    </row>
    <row r="4" spans="1:12" ht="15.75" thickBot="1" x14ac:dyDescent="0.3"/>
    <row r="5" spans="1:12" ht="19.5" thickBot="1" x14ac:dyDescent="0.35">
      <c r="B5" s="2676" t="str">
        <f>CONCATENATE(E14," is aan partneralimentatie verschuldigd")</f>
        <v>A. Plichtig is aan partneralimentatie verschuldigd</v>
      </c>
      <c r="C5" s="2677"/>
      <c r="D5" s="2677"/>
      <c r="E5" s="491" t="s">
        <v>54</v>
      </c>
      <c r="F5" s="492" t="s">
        <v>451</v>
      </c>
      <c r="H5" s="429"/>
    </row>
    <row r="6" spans="1:12" ht="18.75" x14ac:dyDescent="0.3">
      <c r="B6" s="2674" t="s">
        <v>452</v>
      </c>
      <c r="C6" s="2675"/>
      <c r="D6" s="2675"/>
      <c r="E6" s="493">
        <f>'Alimentatie 2025-01'!D$305</f>
        <v>0</v>
      </c>
      <c r="F6" s="494">
        <f>IF('Alimentatie 2025-01'!D$306&lt;0,0,'Alimentatie 2025-01'!D$306)</f>
        <v>0</v>
      </c>
    </row>
    <row r="7" spans="1:12" ht="19.5" thickBot="1" x14ac:dyDescent="0.35">
      <c r="B7" s="2678" t="s">
        <v>453</v>
      </c>
      <c r="C7" s="2679"/>
      <c r="D7" s="2679"/>
      <c r="E7" s="490">
        <f>Behoefteberekening!E$18</f>
        <v>0</v>
      </c>
      <c r="F7" s="495">
        <f>IF(Behoefteberekening!$F$18&lt;0,0,Behoefteberekening!$F$18)</f>
        <v>0</v>
      </c>
    </row>
    <row r="8" spans="1:12" ht="19.5" thickBot="1" x14ac:dyDescent="0.35">
      <c r="B8" s="2680" t="s">
        <v>1035</v>
      </c>
      <c r="C8" s="2681"/>
      <c r="D8" s="2681"/>
      <c r="E8" s="730">
        <f>F8/12</f>
        <v>0</v>
      </c>
      <c r="F8" s="731">
        <f>Inkomensvergelijking!J19</f>
        <v>0</v>
      </c>
      <c r="G8" s="2649" t="str">
        <f>IF(OR(Inkomensvergelijking!$K$21&lt;-0.5,Inkomensvergelijking!$K$21&gt;0.5),"LET OP: Inkomensvergelijking (cel H12) klopt niet !!!","Inkomensvergelijking is Oke!")</f>
        <v>Inkomensvergelijking is Oke!</v>
      </c>
      <c r="H8" s="2647"/>
      <c r="I8" s="2648"/>
    </row>
    <row r="9" spans="1:12" ht="4.9000000000000004" customHeight="1" thickBot="1" x14ac:dyDescent="0.3">
      <c r="A9"/>
      <c r="C9"/>
      <c r="E9"/>
      <c r="F9"/>
      <c r="G9" s="527"/>
      <c r="H9"/>
    </row>
    <row r="10" spans="1:12" ht="19.5" thickBot="1" x14ac:dyDescent="0.35">
      <c r="B10" s="2672" t="s">
        <v>536</v>
      </c>
      <c r="C10" s="2673"/>
      <c r="D10" s="2673"/>
      <c r="E10" s="736">
        <f>(MIN(E6:E8))</f>
        <v>0</v>
      </c>
      <c r="F10" s="737">
        <f>(MIN(F6:F8))</f>
        <v>0</v>
      </c>
      <c r="G10" s="2646" t="s">
        <v>799</v>
      </c>
      <c r="H10" s="2647"/>
      <c r="I10" s="2648"/>
    </row>
    <row r="11" spans="1:12" ht="19.5" thickBot="1" x14ac:dyDescent="0.35">
      <c r="B11" s="2672" t="s">
        <v>538</v>
      </c>
      <c r="C11" s="2673"/>
      <c r="D11" s="2673"/>
      <c r="E11" s="736">
        <f>E15</f>
        <v>0</v>
      </c>
      <c r="F11" s="737">
        <f>E11*12</f>
        <v>0</v>
      </c>
      <c r="G11" s="729"/>
      <c r="H11" s="527"/>
    </row>
    <row r="12" spans="1:12" ht="19.5" thickBot="1" x14ac:dyDescent="0.35">
      <c r="B12" s="2682" t="s">
        <v>537</v>
      </c>
      <c r="C12" s="2683"/>
      <c r="D12" s="2683"/>
      <c r="E12" s="528">
        <f>SUM(E10:E11)</f>
        <v>0</v>
      </c>
      <c r="F12" s="1364">
        <f>SUM(F10:F11)</f>
        <v>0</v>
      </c>
      <c r="G12" s="729"/>
      <c r="H12" s="527"/>
    </row>
    <row r="13" spans="1:12" ht="15.75" thickBot="1" x14ac:dyDescent="0.3"/>
    <row r="14" spans="1:12" ht="15.75" thickBot="1" x14ac:dyDescent="0.3">
      <c r="A14" s="249" t="s">
        <v>223</v>
      </c>
      <c r="B14" s="2644" t="s">
        <v>4</v>
      </c>
      <c r="C14" s="2645"/>
      <c r="D14" s="2645"/>
      <c r="E14" s="441" t="str">
        <f>BGPartner_AP</f>
        <v>A. Plichtig</v>
      </c>
      <c r="F14" s="441" t="str">
        <f>BGPartner_AG</f>
        <v>A. Gerechtigd</v>
      </c>
      <c r="J14" s="223" t="s">
        <v>312</v>
      </c>
      <c r="K14" s="224" t="s">
        <v>307</v>
      </c>
      <c r="L14" s="227" t="s">
        <v>246</v>
      </c>
    </row>
    <row r="15" spans="1:12" x14ac:dyDescent="0.25">
      <c r="A15" s="170">
        <v>141</v>
      </c>
      <c r="B15" s="2639" t="str">
        <f>'Alimentatie 2025-01'!B$291</f>
        <v>Kinderalimentatie</v>
      </c>
      <c r="C15" s="2639"/>
      <c r="D15" s="2684"/>
      <c r="E15" s="732">
        <f>'Alimentatie 2025-01'!D$291</f>
        <v>0</v>
      </c>
      <c r="F15" s="454">
        <f>'Alimentatie 2025-01'!G$291</f>
        <v>0</v>
      </c>
      <c r="J15" s="222" t="s">
        <v>311</v>
      </c>
      <c r="K15" s="228" t="str">
        <f>BGPartner_AP</f>
        <v>A. Plichtig</v>
      </c>
      <c r="L15" s="229">
        <f>Basisgegevens!$C$5</f>
        <v>33024</v>
      </c>
    </row>
    <row r="16" spans="1:12" ht="15.75" thickBot="1" x14ac:dyDescent="0.3">
      <c r="A16" s="191">
        <v>141</v>
      </c>
      <c r="B16" s="2632" t="str">
        <f>'Alimentatie 2025-01'!B$292</f>
        <v>Verblijfskosten kinderen (Zorgkorting)</v>
      </c>
      <c r="C16" s="2632"/>
      <c r="D16" s="2685"/>
      <c r="E16" s="733">
        <f>'Alimentatie 2025-01'!D$292</f>
        <v>0</v>
      </c>
      <c r="F16" s="451">
        <f>'Alimentatie 2025-01'!G$292</f>
        <v>0</v>
      </c>
      <c r="J16" s="221" t="s">
        <v>310</v>
      </c>
      <c r="K16" s="230" t="str">
        <f>BGPartner_AG</f>
        <v>A. Gerechtigd</v>
      </c>
      <c r="L16" s="231">
        <f>Basisgegevens!$D$5</f>
        <v>33024</v>
      </c>
    </row>
    <row r="17" spans="1:13" ht="15.75" thickBot="1" x14ac:dyDescent="0.3">
      <c r="A17" s="9">
        <v>141</v>
      </c>
      <c r="B17" s="2653" t="str">
        <f>'Alimentatie 2025-01'!B$293</f>
        <v>Eigen aandeel kosten kinderen</v>
      </c>
      <c r="C17" s="2653"/>
      <c r="D17" s="2654"/>
      <c r="E17" s="734">
        <f>'Alimentatie 2025-01'!D$293</f>
        <v>0</v>
      </c>
      <c r="F17" s="452">
        <f>'Alimentatie 2025-01'!G$293</f>
        <v>0</v>
      </c>
    </row>
    <row r="18" spans="1:13" ht="15.75" thickBot="1" x14ac:dyDescent="0.3">
      <c r="A18" s="1254"/>
      <c r="B18" s="2657" t="str">
        <f>'Alimentatie 2025-01'!B294</f>
        <v>Kinderalimentatie per maand:</v>
      </c>
      <c r="C18" s="2658"/>
      <c r="D18" s="2659"/>
      <c r="E18" s="735">
        <f>SUM(E15:E17)</f>
        <v>0</v>
      </c>
      <c r="F18" s="109">
        <f>SUM(F15:F17)</f>
        <v>0</v>
      </c>
    </row>
    <row r="19" spans="1:13" ht="15.75" thickBot="1" x14ac:dyDescent="0.3">
      <c r="A19" s="245"/>
      <c r="B19" s="2655" t="s">
        <v>313</v>
      </c>
      <c r="C19" s="2656"/>
      <c r="D19" s="2656"/>
      <c r="E19" s="1448">
        <f>KAEigenAandeel</f>
        <v>0</v>
      </c>
    </row>
    <row r="20" spans="1:13" ht="15.75" thickBot="1" x14ac:dyDescent="0.3">
      <c r="B20" s="219"/>
    </row>
    <row r="21" spans="1:13" ht="15.75" thickBot="1" x14ac:dyDescent="0.3">
      <c r="A21" s="249" t="s">
        <v>223</v>
      </c>
      <c r="B21" s="2644" t="s">
        <v>101</v>
      </c>
      <c r="C21" s="2645"/>
      <c r="D21" s="2645"/>
      <c r="E21" s="1314" t="str">
        <f>BGPartner_AP</f>
        <v>A. Plichtig</v>
      </c>
      <c r="F21" s="238" t="str">
        <f>'Alimentatie 2025-01'!$E$2</f>
        <v>Kinderalimentatie</v>
      </c>
      <c r="G21" s="1322" t="str">
        <f>BGPartner_AG</f>
        <v>A. Gerechtigd</v>
      </c>
      <c r="H21" s="238" t="str">
        <f>'Alimentatie 2025-01'!$H$2</f>
        <v>Kinderalimentatie</v>
      </c>
      <c r="J21" s="119" t="s">
        <v>223</v>
      </c>
      <c r="K21" s="435" t="s">
        <v>308</v>
      </c>
      <c r="L21" s="225" t="s">
        <v>246</v>
      </c>
      <c r="M21" s="226" t="s">
        <v>309</v>
      </c>
    </row>
    <row r="22" spans="1:13" x14ac:dyDescent="0.25">
      <c r="A22" s="170">
        <v>64</v>
      </c>
      <c r="B22" s="2663" t="str">
        <f>'Alimentatie 2025-01'!B$56</f>
        <v>Belastbaar loon:</v>
      </c>
      <c r="C22" s="2664"/>
      <c r="D22" s="2665"/>
      <c r="E22" s="1372">
        <f>AL64BelastbaarLoon_AP</f>
        <v>0</v>
      </c>
      <c r="F22" s="434">
        <f>'Alimentatie 2025-01'!E$56</f>
        <v>0</v>
      </c>
      <c r="G22" s="1365">
        <f>AL64BelastbaarLoon_AG</f>
        <v>0</v>
      </c>
      <c r="H22" s="434">
        <f>'Alimentatie 2025-01'!H$56</f>
        <v>0</v>
      </c>
      <c r="J22" s="10">
        <v>1</v>
      </c>
      <c r="K22" s="436" t="str">
        <f>IF(TRIM(Basisgegevens!B$310)="","--",Basisgegevens!B$310)</f>
        <v>--</v>
      </c>
      <c r="L22" s="232" t="str">
        <f>IF(K22="--","--",Basisgegevens!E$310)</f>
        <v>--</v>
      </c>
      <c r="M22" s="233" t="str">
        <f>IF(K22="--","--",IF(Basisgegevens!C$310=1,$K$15,IF(Basisgegevens!D$310=1,$K$16,"--")))</f>
        <v>--</v>
      </c>
    </row>
    <row r="23" spans="1:13" x14ac:dyDescent="0.25">
      <c r="A23" s="191">
        <v>75</v>
      </c>
      <c r="B23" s="2650" t="str">
        <f>'Alimentatie 2025-01'!B$75</f>
        <v>Belastbare winst uit onderneming:</v>
      </c>
      <c r="C23" s="2651"/>
      <c r="D23" s="2652"/>
      <c r="E23" s="1373">
        <f>AL75BelastbareWinst_AP</f>
        <v>0</v>
      </c>
      <c r="F23" s="246">
        <f>'Alimentatie 2025-01'!E$75</f>
        <v>0</v>
      </c>
      <c r="G23" s="1366">
        <f>AL75BelastbareWinst_AG</f>
        <v>0</v>
      </c>
      <c r="H23" s="246">
        <f>'Alimentatie 2025-01'!H$75</f>
        <v>0</v>
      </c>
      <c r="J23" s="191">
        <v>2</v>
      </c>
      <c r="K23" s="437" t="str">
        <f>IF(TRIM(Basisgegevens!B$311)="","--",Basisgegevens!B$311)</f>
        <v>--</v>
      </c>
      <c r="L23" s="234" t="str">
        <f>IF(K23="--","--",Basisgegevens!E$311)</f>
        <v>--</v>
      </c>
      <c r="M23" s="235" t="str">
        <f>IF(K23="--","--",IF(Basisgegevens!C$311=1,$K$15,IF(Basisgegevens!D$311=1,$K$16,"--")))</f>
        <v>--</v>
      </c>
    </row>
    <row r="24" spans="1:13" x14ac:dyDescent="0.25">
      <c r="A24" s="191">
        <v>78</v>
      </c>
      <c r="B24" s="2650" t="str">
        <f>'Alimentatie 2025-01'!B$80</f>
        <v>Belastbaar resultaat uit overige werkzaamheden:</v>
      </c>
      <c r="C24" s="2651"/>
      <c r="D24" s="2652"/>
      <c r="E24" s="1373">
        <f>AL78OverigeWerkz_AP</f>
        <v>0</v>
      </c>
      <c r="F24" s="246">
        <f>'Alimentatie 2025-01'!E$80</f>
        <v>0</v>
      </c>
      <c r="G24" s="1366">
        <f>AL78OverigeWerkz_AG</f>
        <v>0</v>
      </c>
      <c r="H24" s="246">
        <f>'Alimentatie 2025-01'!H$80</f>
        <v>0</v>
      </c>
      <c r="J24" s="191">
        <v>3</v>
      </c>
      <c r="K24" s="437" t="str">
        <f>IF(TRIM(Basisgegevens!B$312)="","--",Basisgegevens!B$312)</f>
        <v>--</v>
      </c>
      <c r="L24" s="234" t="str">
        <f>IF(K24="--","--",Basisgegevens!E$312)</f>
        <v>--</v>
      </c>
      <c r="M24" s="235" t="str">
        <f>IF(K24="--","--",IF(Basisgegevens!C$312=1,$K$15,IF(Basisgegevens!D$312=1,$K$16,"--")))</f>
        <v>--</v>
      </c>
    </row>
    <row r="25" spans="1:13" x14ac:dyDescent="0.25">
      <c r="A25" s="191">
        <v>81</v>
      </c>
      <c r="B25" s="2650" t="str">
        <f>'Alimentatie 2025-01'!B$86</f>
        <v>Belastbare periodieke uitkeringen en verstrekkingen:</v>
      </c>
      <c r="C25" s="2651"/>
      <c r="D25" s="2652"/>
      <c r="E25" s="1373">
        <f>AL81PeriodiekeUitk_AP</f>
        <v>0</v>
      </c>
      <c r="F25" s="246">
        <f>'Alimentatie 2025-01'!E$86</f>
        <v>0</v>
      </c>
      <c r="G25" s="1366">
        <f>AL81PeriodiekeUitk_AG</f>
        <v>0</v>
      </c>
      <c r="H25" s="246">
        <f>'Alimentatie 2025-01'!H$86</f>
        <v>0</v>
      </c>
      <c r="J25" s="191">
        <v>4</v>
      </c>
      <c r="K25" s="437" t="str">
        <f>IF(TRIM(Basisgegevens!B$313)="","--",Basisgegevens!B$313)</f>
        <v>--</v>
      </c>
      <c r="L25" s="234" t="str">
        <f>IF(K25="--","--",Basisgegevens!E$313)</f>
        <v>--</v>
      </c>
      <c r="M25" s="235" t="str">
        <f>IF(K25="--","--",IF(Basisgegevens!C$313=1,$K$15,IF(Basisgegevens!D$313=1,$K$16,"--")))</f>
        <v>--</v>
      </c>
    </row>
    <row r="26" spans="1:13" x14ac:dyDescent="0.25">
      <c r="A26" s="191">
        <v>81</v>
      </c>
      <c r="B26" s="2650" t="str">
        <f>'Alimentatie 2025-01'!B$91</f>
        <v>OEW: Totaal fictief PA-inkomen verkregen via EWF / Rente:</v>
      </c>
      <c r="C26" s="2651"/>
      <c r="D26" s="2652"/>
      <c r="E26" s="1373">
        <f>IF(BGOEWRekenModule="Nee",0,AL81OEWFictiefInk_AP)</f>
        <v>0</v>
      </c>
      <c r="F26" s="246">
        <f>'Alimentatie 2025-01'!E$91</f>
        <v>0</v>
      </c>
      <c r="G26" s="1366">
        <f>IF(BGOEWRekenModule="Nee",0,AL81OEWFictiefInk_AG)</f>
        <v>0</v>
      </c>
      <c r="H26" s="246">
        <f>'Alimentatie 2025-01'!H$91</f>
        <v>0</v>
      </c>
      <c r="J26" s="191">
        <v>5</v>
      </c>
      <c r="K26" s="437" t="str">
        <f>IF(TRIM(Basisgegevens!B$314)="","--",Basisgegevens!B$314)</f>
        <v>--</v>
      </c>
      <c r="L26" s="234" t="str">
        <f>IF(K26="--","--",Basisgegevens!E$314)</f>
        <v>--</v>
      </c>
      <c r="M26" s="235" t="str">
        <f>IF(K26="--","--",IF(Basisgegevens!C$314=1,$K$15,IF(Basisgegevens!D$314=1,$K$16,"--")))</f>
        <v>--</v>
      </c>
    </row>
    <row r="27" spans="1:13" x14ac:dyDescent="0.25">
      <c r="A27" s="191">
        <v>85</v>
      </c>
      <c r="B27" s="2650" t="str">
        <f>'Alimentatie 2025-01'!B$102</f>
        <v>Belastbare inkomsten uit eigen woning:</v>
      </c>
      <c r="C27" s="2651"/>
      <c r="D27" s="2652"/>
      <c r="E27" s="1373">
        <f>AL85InkomstenEW_AP</f>
        <v>0</v>
      </c>
      <c r="F27" s="246">
        <f>'Alimentatie 2025-01'!E$102</f>
        <v>0</v>
      </c>
      <c r="G27" s="1366">
        <f>AL85InkomstenEW_AG</f>
        <v>0</v>
      </c>
      <c r="H27" s="246">
        <f>'Alimentatie 2025-01'!H$102</f>
        <v>0</v>
      </c>
      <c r="J27" s="191">
        <v>6</v>
      </c>
      <c r="K27" s="437" t="str">
        <f>IF(TRIM(Basisgegevens!B$315)="","--",Basisgegevens!B$315)</f>
        <v>--</v>
      </c>
      <c r="L27" s="234" t="str">
        <f>IF(K27="--","--",Basisgegevens!E$315)</f>
        <v>--</v>
      </c>
      <c r="M27" s="235" t="str">
        <f>IF(K27="--","--",IF(Basisgegevens!C$315=1,$K$15,IF(Basisgegevens!D$315=1,$K$16,"--")))</f>
        <v>--</v>
      </c>
    </row>
    <row r="28" spans="1:13" x14ac:dyDescent="0.25">
      <c r="A28" s="191">
        <v>89</v>
      </c>
      <c r="B28" s="2650" t="str">
        <f>'Alimentatie 2025-01'!B$108</f>
        <v>Uitgaven voor inkomensvoorziening:</v>
      </c>
      <c r="C28" s="2651"/>
      <c r="D28" s="2652"/>
      <c r="E28" s="1373">
        <f>AL89Inkomensvoorz_AP*-1</f>
        <v>0</v>
      </c>
      <c r="F28" s="246">
        <f>'Alimentatie 2025-01'!E$108*-1</f>
        <v>0</v>
      </c>
      <c r="G28" s="1366">
        <f>AL89Inkomensvoorz_AG*-1</f>
        <v>0</v>
      </c>
      <c r="H28" s="246">
        <f>'Alimentatie 2025-01'!H$108*-1</f>
        <v>0</v>
      </c>
      <c r="J28" s="191" t="s">
        <v>472</v>
      </c>
      <c r="K28" s="437" t="str">
        <f>IF(TRIM(Basisgegevens!B$316)="","--",Basisgegevens!B$316)</f>
        <v>--</v>
      </c>
      <c r="L28" s="234" t="str">
        <f>IF(K28="--","--",Basisgegevens!E$316)</f>
        <v>--</v>
      </c>
      <c r="M28" s="235" t="str">
        <f>IF(K28="--","--",IF(Basisgegevens!C$316=1,$K$15,IF(Basisgegevens!D$316=1,$K$16,"--")))</f>
        <v>--</v>
      </c>
    </row>
    <row r="29" spans="1:13" ht="15.75" thickBot="1" x14ac:dyDescent="0.3">
      <c r="A29" s="191">
        <v>90</v>
      </c>
      <c r="B29" s="2660" t="str">
        <f>'Alimentatie 2025-01'!B$110</f>
        <v>Uitgaven voor kinderopvang (vervallen):</v>
      </c>
      <c r="C29" s="2661"/>
      <c r="D29" s="2662"/>
      <c r="E29" s="1374">
        <f>AL90Kinderopvang_AP</f>
        <v>0</v>
      </c>
      <c r="F29" s="1248">
        <f>'Alimentatie 2025-01'!E$110</f>
        <v>0</v>
      </c>
      <c r="G29" s="1321">
        <f>AL90Kinderopvang_AG</f>
        <v>0</v>
      </c>
      <c r="H29" s="1248">
        <f>'Alimentatie 2025-01'!H$110</f>
        <v>0</v>
      </c>
      <c r="J29" s="191">
        <v>8</v>
      </c>
      <c r="K29" s="437" t="str">
        <f>IF(TRIM(Basisgegevens!B$317)="","--",Basisgegevens!B$317)</f>
        <v>--</v>
      </c>
      <c r="L29" s="234" t="str">
        <f>IF(K29="--","--",Basisgegevens!E$317)</f>
        <v>--</v>
      </c>
      <c r="M29" s="235" t="str">
        <f>IF(K29="--","--",IF(Basisgegevens!C$317=1,$K$15,IF(Basisgegevens!D$317=1,$K$16,"--")))</f>
        <v>--</v>
      </c>
    </row>
    <row r="30" spans="1:13" ht="15.75" thickBot="1" x14ac:dyDescent="0.3">
      <c r="A30" s="191">
        <v>94</v>
      </c>
      <c r="B30" s="2633" t="str">
        <f>'Alimentatie 2025-01'!B$129</f>
        <v>Belastbaar verzamelinkomen uit werk en woning (a t/m h) (Box I):</v>
      </c>
      <c r="C30" s="2634"/>
      <c r="D30" s="2635"/>
      <c r="E30" s="1375">
        <f>AL94VerzInkomen_AP</f>
        <v>0</v>
      </c>
      <c r="F30" s="1252">
        <f>'Alimentatie 2025-01'!E$129</f>
        <v>0</v>
      </c>
      <c r="G30" s="1367">
        <f>AL94VerzInkomen_AG</f>
        <v>0</v>
      </c>
      <c r="H30" s="1252">
        <f>'Alimentatie 2025-01'!H$129</f>
        <v>0</v>
      </c>
      <c r="I30" s="782" t="s">
        <v>1036</v>
      </c>
      <c r="J30" s="191">
        <v>9</v>
      </c>
      <c r="K30" s="437" t="str">
        <f>IF(TRIM(Basisgegevens!B$318)="","--",Basisgegevens!B$318)</f>
        <v>--</v>
      </c>
      <c r="L30" s="234" t="str">
        <f>IF(K30="--","--",Basisgegevens!E$318)</f>
        <v>--</v>
      </c>
      <c r="M30" s="235" t="str">
        <f>IF(K30="--","--",IF(Basisgegevens!C$318=1,$K$15,IF(Basisgegevens!D$318=1,$K$16,"--")))</f>
        <v>--</v>
      </c>
    </row>
    <row r="31" spans="1:13" ht="15.75" thickBot="1" x14ac:dyDescent="0.3">
      <c r="A31" s="191">
        <v>100</v>
      </c>
      <c r="B31" s="2633" t="str">
        <f>'Alimentatie 2025-01'!B$145&amp;" (Box 2)"</f>
        <v>Inkomen uit aanmerkelijk belang: (Box 2)</v>
      </c>
      <c r="C31" s="2634"/>
      <c r="D31" s="2635"/>
      <c r="E31" s="1375">
        <f>'Alimentatie 2025-01'!D$145</f>
        <v>0</v>
      </c>
      <c r="F31" s="1252">
        <f>'Alimentatie 2025-01'!E$145</f>
        <v>0</v>
      </c>
      <c r="G31" s="1252">
        <f>'Alimentatie 2025-01'!G$145</f>
        <v>0</v>
      </c>
      <c r="H31" s="1252">
        <f>'Alimentatie 2025-01'!H$145</f>
        <v>0</v>
      </c>
      <c r="J31" s="191">
        <v>10</v>
      </c>
      <c r="K31" s="437" t="str">
        <f>IF(TRIM(Basisgegevens!B$319)="","--",Basisgegevens!B$319)</f>
        <v>--</v>
      </c>
      <c r="L31" s="234" t="str">
        <f>IF(K31="--","--",Basisgegevens!E$319)</f>
        <v>--</v>
      </c>
      <c r="M31" s="235" t="str">
        <f>IF(K31="--","--",IF(Basisgegevens!C$319=1,$K$15,IF(Basisgegevens!D$319=1,$K$16,"--")))</f>
        <v>--</v>
      </c>
    </row>
    <row r="32" spans="1:13" x14ac:dyDescent="0.25">
      <c r="A32" s="191">
        <v>103</v>
      </c>
      <c r="B32" s="2636" t="str">
        <f>'Alimentatie 2025-01'!B$155</f>
        <v>Werkelijke vermogensinkomsten:</v>
      </c>
      <c r="C32" s="2637"/>
      <c r="D32" s="2637"/>
      <c r="E32" s="1376">
        <f>AL103WerkVemInk_AP</f>
        <v>0</v>
      </c>
      <c r="F32" s="1251">
        <f>'Alimentatie 2025-01'!E$155</f>
        <v>0</v>
      </c>
      <c r="G32" s="1368">
        <f>AL103WerkVemInk_AG</f>
        <v>0</v>
      </c>
      <c r="H32" s="1251">
        <f>'Alimentatie 2025-01'!H$155</f>
        <v>0</v>
      </c>
      <c r="J32" s="191">
        <v>11</v>
      </c>
      <c r="K32" s="437" t="str">
        <f>IF(TRIM(Basisgegevens!B$320)="","--",Basisgegevens!B$320)</f>
        <v>--</v>
      </c>
      <c r="L32" s="234" t="str">
        <f>IF(K32="--","--",Basisgegevens!E$320)</f>
        <v>--</v>
      </c>
      <c r="M32" s="235" t="str">
        <f>IF(K32="--","--",IF(Basisgegevens!C$320=1,$K$15,IF(Basisgegevens!D$320=1,$K$16,"--")))</f>
        <v>--</v>
      </c>
    </row>
    <row r="33" spans="1:13" ht="15.75" thickBot="1" x14ac:dyDescent="0.3">
      <c r="A33" s="191">
        <v>108</v>
      </c>
      <c r="B33" s="2640" t="str">
        <f>'Alimentatie 2025-01'!B$171</f>
        <v>Grondslag sparen en beleggen:</v>
      </c>
      <c r="C33" s="2641"/>
      <c r="D33" s="2641"/>
      <c r="E33" s="1374">
        <f>AL108GrondslagSenB_AP</f>
        <v>0</v>
      </c>
      <c r="F33" s="1248">
        <f>'Alimentatie 2025-01'!E$171</f>
        <v>0</v>
      </c>
      <c r="G33" s="1321">
        <f>AL108GrondslagSenB_AG</f>
        <v>0</v>
      </c>
      <c r="H33" s="522">
        <f>'Alimentatie 2025-01'!H$171</f>
        <v>0</v>
      </c>
      <c r="J33" s="9">
        <v>12</v>
      </c>
      <c r="K33" s="438" t="str">
        <f>IF(TRIM(Basisgegevens!B$321)="","--",Basisgegevens!B$321)</f>
        <v>--</v>
      </c>
      <c r="L33" s="236" t="str">
        <f>IF(K33="--","--",Basisgegevens!E$321)</f>
        <v>--</v>
      </c>
      <c r="M33" s="237" t="str">
        <f>IF(K33="--","--",IF(Basisgegevens!C$321=1,$K$15,IF(Basisgegevens!D$321=1,$K$16,"--")))</f>
        <v>--</v>
      </c>
    </row>
    <row r="34" spans="1:13" ht="15.75" thickBot="1" x14ac:dyDescent="0.3">
      <c r="A34" s="191">
        <v>111</v>
      </c>
      <c r="B34" s="2642" t="str">
        <f>'Alimentatie 2025-01'!B$175</f>
        <v>Belastbaar inkomen uit sparen en beleggen (Box III):</v>
      </c>
      <c r="C34" s="2643"/>
      <c r="D34" s="2643"/>
      <c r="E34" s="1375">
        <f>AL111InkomenBox3_AP</f>
        <v>0</v>
      </c>
      <c r="F34" s="1377">
        <f>'Alimentatie 2025-01'!E$175</f>
        <v>0</v>
      </c>
      <c r="G34" s="1367">
        <f>AL111InkomenBox3_AG</f>
        <v>0</v>
      </c>
      <c r="H34" s="1252">
        <f>'Alimentatie 2025-01'!H$175</f>
        <v>0</v>
      </c>
    </row>
    <row r="35" spans="1:13" x14ac:dyDescent="0.25">
      <c r="A35" s="191">
        <v>119</v>
      </c>
      <c r="B35" s="2631" t="str">
        <f>'Alimentatie 2025-01'!B$224</f>
        <v>Totaal Netto inkomsten (waaronder KGB):</v>
      </c>
      <c r="C35" s="2632"/>
      <c r="D35" s="2632"/>
      <c r="E35" s="1373">
        <f>'Alimentatie 2025-01'!D$216+'Alimentatie 2025-01'!D$224</f>
        <v>0</v>
      </c>
      <c r="F35" s="1378">
        <f>'Alimentatie 2025-01'!E$216+'Alimentatie 2025-01'!E$224</f>
        <v>0</v>
      </c>
      <c r="G35" s="1366">
        <f>'Alimentatie 2025-01'!G$216+'Alimentatie 2025-01'!G$224</f>
        <v>0</v>
      </c>
      <c r="H35" s="246">
        <f>'Alimentatie 2025-01'!H$216+'Alimentatie 2025-01'!H$224</f>
        <v>0</v>
      </c>
    </row>
    <row r="36" spans="1:13" x14ac:dyDescent="0.25">
      <c r="A36" s="191">
        <v>121</v>
      </c>
      <c r="B36" s="2631" t="str">
        <f>'Alimentatie 2025-01'!B$247</f>
        <v>Netto Besteedbaar Inkomen (NBI) per maand:</v>
      </c>
      <c r="C36" s="2632"/>
      <c r="D36" s="2632"/>
      <c r="E36" s="1373">
        <f>'Alimentatie 2025-01'!D$247</f>
        <v>0</v>
      </c>
      <c r="F36" s="246">
        <f>'Alimentatie 2025-01'!E$247</f>
        <v>0</v>
      </c>
      <c r="G36" s="1366">
        <f>'Alimentatie 2025-01'!G$247</f>
        <v>0</v>
      </c>
      <c r="H36" s="246">
        <f>'Alimentatie 2025-01'!H$247</f>
        <v>0</v>
      </c>
    </row>
    <row r="37" spans="1:13" x14ac:dyDescent="0.25">
      <c r="A37" s="191">
        <v>135</v>
      </c>
      <c r="B37" s="2631" t="str">
        <f>'Alimentatie 2025-01'!B$268</f>
        <v>Draagkrachtloos inkomen:</v>
      </c>
      <c r="C37" s="2632"/>
      <c r="D37" s="2632"/>
      <c r="E37" s="1373">
        <f>AL135_Draagkrachtloos_AP</f>
        <v>1260</v>
      </c>
      <c r="F37" s="246">
        <f>'Alimentatie 2025-01'!E$268</f>
        <v>1823</v>
      </c>
      <c r="G37" s="1366">
        <f>AL135_Draagkrachtloos_AG</f>
        <v>1260</v>
      </c>
      <c r="H37" s="246">
        <f>'Alimentatie 2025-01'!H$268</f>
        <v>1823</v>
      </c>
    </row>
    <row r="38" spans="1:13" ht="15.75" thickBot="1" x14ac:dyDescent="0.3">
      <c r="A38" s="191">
        <v>136</v>
      </c>
      <c r="B38" s="2640" t="str">
        <f>'Alimentatie 2025-01'!B$273</f>
        <v>Draagkrachtruimte:</v>
      </c>
      <c r="C38" s="2641"/>
      <c r="D38" s="2641"/>
      <c r="E38" s="1374">
        <f>AL136_Draagkrachtruimte_AP</f>
        <v>-1260</v>
      </c>
      <c r="F38" s="1248">
        <f>'Alimentatie 2025-01'!E$273</f>
        <v>-1823</v>
      </c>
      <c r="G38" s="1321">
        <f>AL136_Draagkrachtruimte_AG</f>
        <v>-1260</v>
      </c>
      <c r="H38" s="1248">
        <f>'Alimentatie 2025-01'!H$273</f>
        <v>-1823</v>
      </c>
    </row>
    <row r="39" spans="1:13" ht="15.75" thickBot="1" x14ac:dyDescent="0.3">
      <c r="A39" s="191">
        <v>137</v>
      </c>
      <c r="B39" s="2629" t="str">
        <f>'Alimentatie 2025-01'!B$278</f>
        <v>Beschikbaar voor partner en kinderalimentatie</v>
      </c>
      <c r="C39" s="2630"/>
      <c r="D39" s="2630"/>
      <c r="E39" s="1379">
        <f>'Alimentatie 2025-01'!D$278</f>
        <v>-756</v>
      </c>
      <c r="F39" s="1250">
        <f>'Alimentatie 2025-01'!E$278</f>
        <v>-1276.0999999999999</v>
      </c>
      <c r="G39" s="1369">
        <f>'Alimentatie 2025-01'!G$278</f>
        <v>-756</v>
      </c>
      <c r="H39" s="1250">
        <f>'Alimentatie 2025-01'!H$278</f>
        <v>-1276.0999999999999</v>
      </c>
    </row>
    <row r="40" spans="1:13" x14ac:dyDescent="0.25">
      <c r="A40" s="191">
        <v>137</v>
      </c>
      <c r="B40" s="2638" t="str">
        <f>'Alimentatie 2025-01'!B$279</f>
        <v>Andere onderhoudsverplichtingen</v>
      </c>
      <c r="C40" s="2639"/>
      <c r="D40" s="2639"/>
      <c r="E40" s="1380">
        <f>'Alimentatie 2025-01'!D$279</f>
        <v>0</v>
      </c>
      <c r="F40" s="1249">
        <f>'Alimentatie 2025-01'!E$279</f>
        <v>0</v>
      </c>
      <c r="G40" s="1370">
        <f>'Alimentatie 2025-01'!G$279</f>
        <v>0</v>
      </c>
      <c r="H40" s="1249">
        <f>'Alimentatie 2025-01'!H$279</f>
        <v>0</v>
      </c>
    </row>
    <row r="41" spans="1:13" x14ac:dyDescent="0.25">
      <c r="A41" s="191">
        <v>138</v>
      </c>
      <c r="B41" s="2631" t="str">
        <f>'Alimentatie 2025-01'!B$280</f>
        <v xml:space="preserve">Alimentatieverplichting (eerdere) ex-partner </v>
      </c>
      <c r="C41" s="2632"/>
      <c r="D41" s="2632"/>
      <c r="E41" s="1374">
        <f>'Alimentatie 2025-01'!D$280</f>
        <v>0</v>
      </c>
      <c r="F41" s="246" t="str">
        <f>'Alimentatie 2025-01'!E$280</f>
        <v>n.v.t</v>
      </c>
      <c r="G41" s="1321">
        <f>'Alimentatie 2025-01'!G$280</f>
        <v>0</v>
      </c>
      <c r="H41" s="1248" t="str">
        <f>'Alimentatie 2025-01'!H$280</f>
        <v>n.v.t</v>
      </c>
    </row>
    <row r="42" spans="1:13" ht="15.75" thickBot="1" x14ac:dyDescent="0.3">
      <c r="A42" s="9">
        <v>138</v>
      </c>
      <c r="B42" s="2666" t="str">
        <f>'Alimentatie 2025-01'!B$283</f>
        <v>OEW: Hypotheekrente betaald voor ex. partner als partneralimentatie</v>
      </c>
      <c r="C42" s="2667"/>
      <c r="D42" s="2667"/>
      <c r="E42" s="1381">
        <f>IF(BGOEWRekenModule="Nee",0,BGOEW138RentePA_AP)/12</f>
        <v>0</v>
      </c>
      <c r="F42" s="1253" t="s">
        <v>695</v>
      </c>
      <c r="G42" s="1371">
        <f>IF(BGOEWRekenModule="Nee",0,BGOEW138RentePA_AG)/12</f>
        <v>0</v>
      </c>
      <c r="H42" s="1253" t="s">
        <v>695</v>
      </c>
    </row>
  </sheetData>
  <sheetProtection algorithmName="SHA-512" hashValue="ifvBWItcqNiY0pmSDMwQNtUtPXlca57Ctym3ixTQY3fsNs3gG61ZyMF6+e2fSCKu9zSgM0XaQIXYQ959ixgNxQ==" saltValue="oHKYATgLM51DxKioqBRtMg==" spinCount="100000" sheet="1" objects="1" scenarios="1"/>
  <mergeCells count="39">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 ref="B28:D28"/>
    <mergeCell ref="B26:D26"/>
    <mergeCell ref="B29:D29"/>
    <mergeCell ref="B24:D24"/>
    <mergeCell ref="B22:D22"/>
    <mergeCell ref="B21:D21"/>
    <mergeCell ref="G10:I10"/>
    <mergeCell ref="G8:I8"/>
    <mergeCell ref="B25:D25"/>
    <mergeCell ref="B17:D17"/>
    <mergeCell ref="B23:D23"/>
    <mergeCell ref="B19:D19"/>
    <mergeCell ref="B18:D18"/>
    <mergeCell ref="B39:D39"/>
    <mergeCell ref="B41:D41"/>
    <mergeCell ref="B31:D31"/>
    <mergeCell ref="B32:D32"/>
    <mergeCell ref="B35:D35"/>
    <mergeCell ref="B36:D36"/>
    <mergeCell ref="B37:D37"/>
    <mergeCell ref="B40:D40"/>
    <mergeCell ref="B38:D38"/>
    <mergeCell ref="B34:D34"/>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1000"/>
  <sheetViews>
    <sheetView showGridLines="0" zoomScale="80" zoomScaleNormal="80" workbookViewId="0"/>
  </sheetViews>
  <sheetFormatPr defaultColWidth="8.85546875" defaultRowHeight="15" x14ac:dyDescent="0.25"/>
  <cols>
    <col min="1" max="1" width="9.28515625" style="14" bestFit="1" customWidth="1"/>
    <col min="2" max="2" width="58.7109375" style="46" customWidth="1"/>
    <col min="3" max="4" width="22.7109375" style="17" customWidth="1"/>
    <col min="5" max="5" width="22.7109375" style="2" customWidth="1"/>
    <col min="6" max="6" width="21.7109375" style="2" customWidth="1"/>
    <col min="7" max="10" width="17.7109375" style="2" customWidth="1"/>
    <col min="11" max="11" width="8.7109375" style="2" bestFit="1" customWidth="1"/>
    <col min="12" max="12" width="8.7109375" style="2" customWidth="1"/>
    <col min="13" max="13" width="25.7109375" style="14" customWidth="1"/>
    <col min="14" max="14" width="22.7109375" style="14" customWidth="1"/>
    <col min="15" max="15" width="18.7109375" style="14" customWidth="1"/>
    <col min="16" max="18" width="22.7109375" style="14" customWidth="1"/>
    <col min="19" max="19" width="60.7109375" style="2" customWidth="1"/>
    <col min="20" max="27" width="24.7109375" style="2" customWidth="1"/>
    <col min="28" max="31" width="20.7109375" style="2" customWidth="1"/>
    <col min="32" max="32" width="2.7109375" style="2" customWidth="1"/>
    <col min="33" max="16384" width="8.85546875" style="2"/>
  </cols>
  <sheetData>
    <row r="1" spans="1:32" ht="20.25" thickBot="1" x14ac:dyDescent="0.3">
      <c r="A1" s="766"/>
      <c r="B1" s="767" t="s">
        <v>383</v>
      </c>
      <c r="C1" s="768"/>
      <c r="D1" s="768"/>
      <c r="E1" s="769"/>
      <c r="F1" s="769"/>
      <c r="G1" s="769"/>
      <c r="H1" s="769"/>
      <c r="I1" s="784" t="s">
        <v>544</v>
      </c>
      <c r="J1" s="770"/>
      <c r="AF1" s="1951"/>
    </row>
    <row r="2" spans="1:32" ht="20.25" thickBot="1" x14ac:dyDescent="0.3">
      <c r="A2" s="420"/>
      <c r="B2" s="421"/>
      <c r="C2" s="8" t="s">
        <v>968</v>
      </c>
      <c r="D2" s="1382" t="s">
        <v>969</v>
      </c>
      <c r="E2" s="421"/>
      <c r="F2" s="421"/>
      <c r="L2" s="64" t="s">
        <v>185</v>
      </c>
      <c r="T2" s="2686" t="s">
        <v>1060</v>
      </c>
      <c r="U2" s="2687"/>
      <c r="V2" s="2686" t="s">
        <v>1074</v>
      </c>
      <c r="W2" s="2687"/>
      <c r="X2" s="2686" t="s">
        <v>1044</v>
      </c>
      <c r="Y2" s="2687"/>
      <c r="Z2" s="2686" t="s">
        <v>442</v>
      </c>
      <c r="AA2" s="2725"/>
      <c r="AE2" s="303" t="s">
        <v>887</v>
      </c>
      <c r="AF2" s="1951"/>
    </row>
    <row r="3" spans="1:32" ht="15.75" thickBot="1" x14ac:dyDescent="0.3">
      <c r="A3" s="8" t="s">
        <v>223</v>
      </c>
      <c r="B3" s="132" t="s">
        <v>88</v>
      </c>
      <c r="C3" s="39" t="s">
        <v>398</v>
      </c>
      <c r="D3" s="39" t="s">
        <v>397</v>
      </c>
      <c r="E3" s="2757" t="s">
        <v>191</v>
      </c>
      <c r="F3" s="2758"/>
      <c r="G3" s="2758"/>
      <c r="H3" s="2758"/>
      <c r="I3" s="2758"/>
      <c r="J3" s="2759"/>
      <c r="N3" s="18" t="str">
        <f>BGPartner_AP</f>
        <v>A. Plichtig</v>
      </c>
      <c r="R3" s="18" t="str">
        <f>BGPartner_AG</f>
        <v>A. Gerechtigd</v>
      </c>
      <c r="T3" s="18" t="str">
        <f>BGPartner_AP</f>
        <v>A. Plichtig</v>
      </c>
      <c r="U3" s="18" t="str">
        <f>BGPartner_AG</f>
        <v>A. Gerechtigd</v>
      </c>
      <c r="V3" s="18" t="str">
        <f>BGPartner_AP</f>
        <v>A. Plichtig</v>
      </c>
      <c r="W3" s="18" t="str">
        <f>BGPartner_AG</f>
        <v>A. Gerechtigd</v>
      </c>
      <c r="X3" s="18" t="str">
        <f>BGPartner_AP</f>
        <v>A. Plichtig</v>
      </c>
      <c r="Y3" s="18" t="str">
        <f>BGPartner_AG</f>
        <v>A. Gerechtigd</v>
      </c>
      <c r="Z3" s="2732" t="str">
        <f>BGPartner_AG</f>
        <v>A. Gerechtigd</v>
      </c>
      <c r="AA3" s="2733"/>
      <c r="AF3" s="1951"/>
    </row>
    <row r="4" spans="1:32" ht="15.75" thickBot="1" x14ac:dyDescent="0.3">
      <c r="A4" s="24" t="s">
        <v>469</v>
      </c>
      <c r="B4" s="1946" t="s">
        <v>89</v>
      </c>
      <c r="C4" s="84" t="s">
        <v>1039</v>
      </c>
      <c r="D4" s="84" t="s">
        <v>1038</v>
      </c>
      <c r="E4" s="2743" t="s">
        <v>918</v>
      </c>
      <c r="F4" s="2744"/>
      <c r="G4" s="2744"/>
      <c r="H4" s="2744"/>
      <c r="I4" s="2744"/>
      <c r="J4" s="2745"/>
      <c r="L4" s="2770" t="s">
        <v>176</v>
      </c>
      <c r="M4" s="2771"/>
      <c r="N4" s="386">
        <f>AL94VerzInkomen_AP</f>
        <v>0</v>
      </c>
      <c r="O4" s="15" t="s">
        <v>177</v>
      </c>
      <c r="P4" s="2770" t="s">
        <v>176</v>
      </c>
      <c r="Q4" s="2771"/>
      <c r="R4" s="473">
        <f>AL94VerzInkomen_AG</f>
        <v>0</v>
      </c>
      <c r="S4" s="303" t="s">
        <v>395</v>
      </c>
      <c r="T4" s="503" t="s">
        <v>1047</v>
      </c>
      <c r="U4" s="503" t="s">
        <v>1047</v>
      </c>
      <c r="V4" s="503" t="s">
        <v>1047</v>
      </c>
      <c r="W4" s="503" t="s">
        <v>1047</v>
      </c>
      <c r="X4" s="503" t="s">
        <v>1047</v>
      </c>
      <c r="Y4" s="503" t="s">
        <v>1047</v>
      </c>
      <c r="Z4" s="504" t="s">
        <v>445</v>
      </c>
      <c r="AA4" s="2197"/>
      <c r="AF4" s="1951"/>
    </row>
    <row r="5" spans="1:32" ht="15" customHeight="1" thickBot="1" x14ac:dyDescent="0.3">
      <c r="A5" s="58" t="s">
        <v>470</v>
      </c>
      <c r="B5" s="913" t="s">
        <v>103</v>
      </c>
      <c r="C5" s="773">
        <v>33024</v>
      </c>
      <c r="D5" s="773">
        <v>33024</v>
      </c>
      <c r="E5" s="2740"/>
      <c r="F5" s="2741"/>
      <c r="G5" s="2741"/>
      <c r="H5" s="2741"/>
      <c r="I5" s="2741"/>
      <c r="J5" s="2742"/>
      <c r="K5" s="17"/>
      <c r="L5" s="2776" t="s">
        <v>539</v>
      </c>
      <c r="M5" s="2777"/>
      <c r="N5" s="601">
        <f>YEAR($C$9)</f>
        <v>2049</v>
      </c>
      <c r="P5" s="2776" t="s">
        <v>539</v>
      </c>
      <c r="Q5" s="2777"/>
      <c r="R5" s="599">
        <f>YEAR($D$9)</f>
        <v>2049</v>
      </c>
      <c r="S5" s="303" t="s">
        <v>412</v>
      </c>
      <c r="T5" s="1260">
        <f>'Alimentatie 2025-01'!E129</f>
        <v>0</v>
      </c>
      <c r="U5" s="1260">
        <f>'Alimentatie 2025-01'!H129</f>
        <v>0</v>
      </c>
      <c r="V5" s="1260">
        <f>AL59Arbeidsinkomen_AP+AL60Arbeidsinkomen_AP</f>
        <v>0</v>
      </c>
      <c r="W5" s="1260">
        <f>AL59Arbeidsinkomen_AG+AL60Arbeidsinkomen_AG</f>
        <v>0</v>
      </c>
      <c r="X5" s="1260">
        <f>Inkomensvergelijking!C56</f>
        <v>0</v>
      </c>
      <c r="Y5" s="1260">
        <f>Inkomensvergelijking!E56</f>
        <v>0</v>
      </c>
      <c r="Z5" s="2201">
        <f>Behoefteberekening!F17</f>
        <v>0</v>
      </c>
      <c r="AA5" s="2198"/>
      <c r="AF5" s="1951"/>
    </row>
    <row r="6" spans="1:32" ht="15.75" customHeight="1" thickBot="1" x14ac:dyDescent="0.3">
      <c r="A6" s="58" t="s">
        <v>471</v>
      </c>
      <c r="B6" s="913" t="s">
        <v>388</v>
      </c>
      <c r="C6" s="598">
        <f>YEAR($C$16-(C$5-2))-1900</f>
        <v>34</v>
      </c>
      <c r="D6" s="598">
        <f>YEAR($C$16-(D$5-2))-1900</f>
        <v>34</v>
      </c>
      <c r="E6" s="2740" t="s">
        <v>610</v>
      </c>
      <c r="F6" s="2741"/>
      <c r="G6" s="2741"/>
      <c r="H6" s="2741"/>
      <c r="I6" s="2741"/>
      <c r="J6" s="2742"/>
      <c r="L6" s="2764" t="s">
        <v>540</v>
      </c>
      <c r="M6" s="2765"/>
      <c r="N6" s="602">
        <f>BGJaarBerekening</f>
        <v>2025</v>
      </c>
      <c r="P6" s="2764" t="s">
        <v>540</v>
      </c>
      <c r="Q6" s="2765"/>
      <c r="R6" s="600">
        <f>BGJaarBerekening</f>
        <v>2025</v>
      </c>
      <c r="S6" s="306"/>
      <c r="T6" s="2688" t="s">
        <v>1048</v>
      </c>
      <c r="U6" s="2688" t="s">
        <v>1048</v>
      </c>
      <c r="V6" s="2688" t="s">
        <v>1048</v>
      </c>
      <c r="W6" s="2688" t="s">
        <v>1048</v>
      </c>
      <c r="X6" s="2688" t="s">
        <v>1048</v>
      </c>
      <c r="Y6" s="2688" t="s">
        <v>1048</v>
      </c>
      <c r="Z6" s="2726" t="s">
        <v>443</v>
      </c>
      <c r="AA6" s="2730" t="s">
        <v>444</v>
      </c>
      <c r="AF6" s="1951"/>
    </row>
    <row r="7" spans="1:32" ht="15.75" thickBot="1" x14ac:dyDescent="0.3">
      <c r="A7" s="58" t="s">
        <v>472</v>
      </c>
      <c r="B7" s="913" t="s">
        <v>129</v>
      </c>
      <c r="C7" s="85" t="s">
        <v>105</v>
      </c>
      <c r="D7" s="85" t="s">
        <v>105</v>
      </c>
      <c r="E7" s="2740" t="s">
        <v>611</v>
      </c>
      <c r="F7" s="2741"/>
      <c r="G7" s="2741"/>
      <c r="H7" s="2741"/>
      <c r="I7" s="2741"/>
      <c r="J7" s="2742"/>
      <c r="L7" s="8" t="s">
        <v>167</v>
      </c>
      <c r="M7" s="50" t="s">
        <v>182</v>
      </c>
      <c r="N7" s="2772" t="s">
        <v>110</v>
      </c>
      <c r="O7" s="2773"/>
      <c r="P7" s="2773"/>
      <c r="Q7" s="50" t="s">
        <v>182</v>
      </c>
      <c r="R7" s="2691" t="s">
        <v>110</v>
      </c>
      <c r="S7" s="2692"/>
      <c r="T7" s="2689"/>
      <c r="U7" s="2689"/>
      <c r="V7" s="2689"/>
      <c r="W7" s="2689"/>
      <c r="X7" s="2689"/>
      <c r="Y7" s="2689"/>
      <c r="Z7" s="2727"/>
      <c r="AA7" s="2731"/>
      <c r="AF7" s="1951"/>
    </row>
    <row r="8" spans="1:32" x14ac:dyDescent="0.25">
      <c r="A8" s="58" t="s">
        <v>473</v>
      </c>
      <c r="B8" s="913" t="s">
        <v>606</v>
      </c>
      <c r="C8" s="85" t="s">
        <v>106</v>
      </c>
      <c r="D8" s="85" t="s">
        <v>106</v>
      </c>
      <c r="E8" s="2740" t="s">
        <v>612</v>
      </c>
      <c r="F8" s="2741"/>
      <c r="G8" s="2741"/>
      <c r="H8" s="2741"/>
      <c r="I8" s="2741"/>
      <c r="J8" s="2742"/>
      <c r="L8" s="2178">
        <v>1</v>
      </c>
      <c r="M8" s="1277">
        <f>IF(Q15="n.v.t",IF(Q23="n.v.t",IF(Q31="n.v.t",IF(Q38="n.v.t",IF(Q39="n.v.t",IF(Q40="n.v.t",IF(Q41="n.v.t",IF(Q42="n.v.t",IF(Q43="n.v.t",IF(Q44="n.v.t",IF(Q45="n.v.t",IF(Q46="n.v.t",IF(Q47="n.v.t",IF(Q48="n.v.t",IF(Q49="n.v.t","???",Q49),Q48),Q47),Q46),Q45),Q44),Q43),Q42),Q41),Q40),Q39),Q38),Q31),Q23),Q15)</f>
        <v>0</v>
      </c>
      <c r="N8" s="2774" t="str">
        <f>IF($Q15="n.v.t",IF($Q23="n.v.t",IF($Q31="n.v.t",IF($Q38="n.v.t",IF($Q39="n.v.t",IF($Q40="n.v.t",IF($Q41="n.v.t",IF($Q42="n.v.t",IF($Q43="n.v.t",IF($Q44="n.v.t",IF($Q45="n.v.t",IF($Q46="n.v.t",IF($Q47="n.v.t",IF($Q48="n.v.t",IF($Q49="n.v.t","???",S49),S48),S47),S46),S45),S44),S43),S42),S41),S40),S39),S38),S31),S23),S15)</f>
        <v>1: 0 tot 38441 tarief: 35,82% - Max. 13769</v>
      </c>
      <c r="O8" s="2775"/>
      <c r="P8" s="2694"/>
      <c r="Q8" s="1349">
        <f>IF(R15="n.v.t",IF(R23="n.v.t",IF(R31="n.v.t",IF(R38="n.v.t",IF(R39="n.v.t",IF(R40="n.v.t",IF(R41="n.v.t",IF(R42="n.v.t",IF(R43="n.v.t",IF(R44="n.v.t",IF(R45="n.v.t",IF(R46="n.v.t",IF(R47="n.v.t",IF(R48="n.v.t",IF(R49="n.v.t","???",R49),R48),R47),R46),R45),R44),R43),R42),R41),R40),R39),R38),R31),R23),R15)</f>
        <v>0</v>
      </c>
      <c r="R8" s="2693" t="str">
        <f>IF($R15="n.v.t",IF($R23="n.v.t",IF($R31="n.v.t",IF($R38="n.v.t",IF($R39="n.v.t",IF($R40="n.v.t",IF($R41="n.v.t",IF($R42="n.v.t",IF($R43="n.v.t",IF($R44="n.v.t",IF($R45="n.v.t",IF($R46="n.v.t",IF($R47="n.v.t",IF($R48="n.v.t",IF($R49="n.v.t","???",S49),S48),S47),S46),S45),S44),S43),S42),S41),S40),S39),S38),S31),S23),S15)</f>
        <v>1: 0 tot 38441 tarief: 35,82% - Max. 13769</v>
      </c>
      <c r="S8" s="2694"/>
      <c r="T8" s="330">
        <f t="shared" ref="T8:U8" si="0">IF(T15="n.v.t",IF(T23="n.v.t",IF(T31="n.v.t",IF(T38="n.v.t",IF(T39="n.v.t",IF(T40="n.v.t",IF(T41="n.v.t",IF(T42="n.v.t",IF(T43="n.v.t",IF(T44="n.v.t",IF(T45="n.v.t",IF(T46="n.v.t",IF(T47="n.v.t",IF(T48="n.v.t",IF(T49="n.v.t","???",T49),T48),T47),T46),T45),T44),T43),T42),T41),T40),T39),T38),T31),T23),T15)</f>
        <v>0</v>
      </c>
      <c r="U8" s="330">
        <f t="shared" si="0"/>
        <v>0</v>
      </c>
      <c r="V8" s="330">
        <f t="shared" ref="V8:W8" si="1">IF(V15="n.v.t",IF(V23="n.v.t",IF(V31="n.v.t",IF(V38="n.v.t",IF(V39="n.v.t",IF(V40="n.v.t",IF(V41="n.v.t",IF(V42="n.v.t",IF(V43="n.v.t",IF(V44="n.v.t",IF(V45="n.v.t",IF(V46="n.v.t",IF(V47="n.v.t",IF(V48="n.v.t",IF(V49="n.v.t","???",V49),V48),V47),V46),V45),V44),V43),V42),V41),V40),V39),V38),V31),V23),V15)</f>
        <v>0</v>
      </c>
      <c r="W8" s="330">
        <f t="shared" si="1"/>
        <v>0</v>
      </c>
      <c r="X8" s="330">
        <f>IF(X15="n.v.t",IF(X23="n.v.t",IF(X31="n.v.t",IF(X38="n.v.t",IF(X39="n.v.t",IF(X40="n.v.t",IF(X41="n.v.t",IF(X42="n.v.t",IF(X43="n.v.t",IF(X44="n.v.t",IF(X45="n.v.t",IF(X46="n.v.t",IF(X47="n.v.t",IF(X48="n.v.t",IF(X49="n.v.t","???",X49),X48),X47),X46),X45),X44),X43),X42),X41),X40),X39),X38),X31),X23),X15)</f>
        <v>0</v>
      </c>
      <c r="Y8" s="330">
        <f>IF(Y15="n.v.t",IF(Y23="n.v.t",IF(Y31="n.v.t",IF(Y38="n.v.t",IF(Y39="n.v.t",IF(Y40="n.v.t",IF(Y41="n.v.t",IF(Y42="n.v.t",IF(Y43="n.v.t",IF(Y44="n.v.t",IF(Y45="n.v.t",IF(Y46="n.v.t",IF(Y47="n.v.t",IF(Y48="n.v.t",IF(Y49="n.v.t","???",Y49),Y48),Y47),Y46),Y45),Y44),Y43),Y42),Y41),Y40),Y39),Y38),Y31),Y23),Y15)</f>
        <v>0</v>
      </c>
      <c r="Z8" s="330">
        <f>IF(Z15="n.v.t",IF(Z23="n.v.t",IF(Z31="n.v.t",IF(Z38="n.v.t",IF(Z39="n.v.t",IF(Z40="n.v.t",IF(Z41="n.v.t",IF(Z42="n.v.t",IF(Z43="n.v.t",IF(Z44="n.v.t",IF(Z45="n.v.t",IF(Z46="n.v.t",IF(Z47="n.v.t",IF(Z48="n.v.t",IF(Z49="n.v.t","???",Z49),Z48),Z47),Z46),Z45),Z44),Z43),Z42),Z41),Z40),Z39),Z38),Z31),Z23),Z15)</f>
        <v>0</v>
      </c>
      <c r="AA8" s="581">
        <f>IF(AA15="n.v.t",IF(AA23="n.v.t",IF(AA31="n.v.t",IF(AA38="n.v.t",IF(AA39="n.v.t",IF(AA40="n.v.t",IF(AA41="n.v.t",IF(AA42="n.v.t",IF(AA43="n.v.t",IF(AA44="n.v.t",IF(AA45="n.v.t",IF(AA46="n.v.t",IF(AA47="n.v.t",IF(AA48="n.v.t",IF(AA49="n.v.t","???",AA49),AA48),AA47),AA46),AA45),AA44),AA43),AA42),AA41),AA40),AA39),AA38),AA31),AA23),AA15)</f>
        <v>0</v>
      </c>
      <c r="AF8" s="1951"/>
    </row>
    <row r="9" spans="1:32" ht="15.75" thickBot="1" x14ac:dyDescent="0.3">
      <c r="A9" s="152" t="s">
        <v>474</v>
      </c>
      <c r="B9" s="2058" t="s">
        <v>613</v>
      </c>
      <c r="C9" s="2094">
        <v>54738</v>
      </c>
      <c r="D9" s="2094">
        <v>54738</v>
      </c>
      <c r="E9" s="2760" t="s">
        <v>405</v>
      </c>
      <c r="F9" s="2761"/>
      <c r="G9" s="2762" t="s">
        <v>562</v>
      </c>
      <c r="H9" s="2761"/>
      <c r="I9" s="2761"/>
      <c r="J9" s="2763"/>
      <c r="L9" s="2179">
        <v>2</v>
      </c>
      <c r="M9" s="467">
        <f>IF(Q16="n.v.t",IF(Q24="n.v.t",IF(Q32="n.v.t",IF(Q50="n.v.t","???",Q50),Q32),Q24),Q16)</f>
        <v>0</v>
      </c>
      <c r="N9" s="2798" t="str">
        <f>IF(Q16="n.v.t",IF(Q24="n.v.t",IF(Q32="n.v.t",IF(Q50="n.v.t",""),S32),S24),S16)</f>
        <v>2: 38441 tot 76816 tarief: 37,48% - Max. 14383</v>
      </c>
      <c r="O9" s="2799"/>
      <c r="P9" s="2767"/>
      <c r="Q9" s="2113">
        <f>IF(R16="n.v.t",IF(R24="n.v.t",IF(R32="n.v.t",IF(R50="n.v.t","???",R50),R32),R24),R16)</f>
        <v>0</v>
      </c>
      <c r="R9" s="2766" t="str">
        <f>IF(R16="n.v.t",IF($R24="n.v.t",IF($R32="n.v.t",IF(R50="n.v.t","???"),S32),S24),S16)</f>
        <v>2: 38441 tot 76816 tarief: 37,48% - Max. 14383</v>
      </c>
      <c r="S9" s="2767"/>
      <c r="T9" s="331">
        <f t="shared" ref="T9:U9" si="2">IF(T16="n.v.t",IF(T24="n.v.t",IF(T32="n.v.t",IF(T50="n.v.t","???",T50),T32),T24),T16)</f>
        <v>0</v>
      </c>
      <c r="U9" s="331">
        <f t="shared" si="2"/>
        <v>0</v>
      </c>
      <c r="V9" s="331">
        <f t="shared" ref="V9:W9" si="3">IF(V16="n.v.t",IF(V24="n.v.t",IF(V32="n.v.t",IF(V50="n.v.t","???",V50),V32),V24),V16)</f>
        <v>0</v>
      </c>
      <c r="W9" s="331">
        <f t="shared" si="3"/>
        <v>0</v>
      </c>
      <c r="X9" s="331">
        <f>IF(X16="n.v.t",IF(X24="n.v.t",IF(X32="n.v.t",IF(X50="n.v.t","???",X50),X32),X24),X16)</f>
        <v>0</v>
      </c>
      <c r="Y9" s="331">
        <f>IF(Y16="n.v.t",IF(Y24="n.v.t",IF(Y32="n.v.t",IF(Y50="n.v.t","???",Y50),Y32),Y24),Y16)</f>
        <v>0</v>
      </c>
      <c r="Z9" s="331">
        <f>IF(Z16="n.v.t",IF(Z24="n.v.t",IF(Z32="n.v.t",IF(Z50="n.v.t","???",Z50),Z32),Z24),Z16)</f>
        <v>0</v>
      </c>
      <c r="AA9" s="582">
        <f>IF(AA16="n.v.t",IF(AA24="n.v.t",IF(AA32="n.v.t",IF(AA50="n.v.t","???",AA50),AA32),AA24),AA16)</f>
        <v>0</v>
      </c>
      <c r="AF9" s="1951"/>
    </row>
    <row r="10" spans="1:32" ht="15.75" thickBot="1" x14ac:dyDescent="0.3">
      <c r="A10" s="147" t="s">
        <v>475</v>
      </c>
      <c r="B10" s="605" t="s">
        <v>420</v>
      </c>
      <c r="C10" s="2096" t="str">
        <f>IF(C$9&lt;=$C$16,"Ja","Nee")</f>
        <v>Nee</v>
      </c>
      <c r="D10" s="2096" t="str">
        <f>IF(D$9&lt;=$C$16,"Ja","Nee")</f>
        <v>Nee</v>
      </c>
      <c r="E10" s="2787" t="s">
        <v>903</v>
      </c>
      <c r="F10" s="2788"/>
      <c r="G10" s="2788"/>
      <c r="H10" s="2788"/>
      <c r="I10" s="2788"/>
      <c r="J10" s="2789"/>
      <c r="L10" s="2180">
        <v>3</v>
      </c>
      <c r="M10" s="2174">
        <f>IF(Q17="n.v.t",IF(Q25="n.v.t",IF(Q33="n.v.t",IF(Q51="n.v.t",0,Q51),Q33),Q25),Q17)</f>
        <v>0</v>
      </c>
      <c r="N10" s="2768" t="str">
        <f>IF(Q17="n.v.t",IF(Q25="n.v.t",IF(Q33="n.v.t",IF(Q51="n.v.t",""),S33),S25),S17)</f>
        <v>3: vanaf 76816 tarief: 49,5%</v>
      </c>
      <c r="O10" s="2769"/>
      <c r="P10" s="2696"/>
      <c r="Q10" s="2173">
        <f>IF(R17="n.v.t",IF(R25="n.v.t",IF(R33="n.v.t",IF(R51="n.v.t",0,R51),R33),R25),R17)</f>
        <v>0</v>
      </c>
      <c r="R10" s="2695" t="str">
        <f>IF(R17="n.v.t",IF($R25="n.v.t",IF($R33="n.v.t",IF(R51="n.v.t","???"),S33),S25),S17)</f>
        <v>3: vanaf 76816 tarief: 49,5%</v>
      </c>
      <c r="S10" s="2696"/>
      <c r="T10" s="332">
        <f t="shared" ref="T10:U10" si="4">IF(T17="n.v.t",IF(T25="n.v.t",IF(T33="n.v.t",IF(T51="n.v.t",0,T51),T33),T25),T17)</f>
        <v>0</v>
      </c>
      <c r="U10" s="332">
        <f t="shared" si="4"/>
        <v>0</v>
      </c>
      <c r="V10" s="332">
        <f t="shared" ref="V10:W10" si="5">IF(V17="n.v.t",IF(V25="n.v.t",IF(V33="n.v.t",IF(V51="n.v.t",0,V51),V33),V25),V17)</f>
        <v>0</v>
      </c>
      <c r="W10" s="332">
        <f t="shared" si="5"/>
        <v>0</v>
      </c>
      <c r="X10" s="332">
        <f>IF(X17="n.v.t",IF(X25="n.v.t",IF(X33="n.v.t",IF(X51="n.v.t",0,X51),X33),X25),X17)</f>
        <v>0</v>
      </c>
      <c r="Y10" s="332">
        <f>IF(Y17="n.v.t",IF(Y25="n.v.t",IF(Y33="n.v.t",IF(Y51="n.v.t",0,Y51),Y33),Y25),Y17)</f>
        <v>0</v>
      </c>
      <c r="Z10" s="332">
        <f>IF(Z17="n.v.t",IF(Z25="n.v.t",IF(Z33="n.v.t",IF(Z51="n.v.t",0,Z51),Z33),Z25),Z17)</f>
        <v>0</v>
      </c>
      <c r="AA10" s="2199">
        <f>IF(AA17="n.v.t",IF(AA25="n.v.t",IF(AA33="n.v.t",IF(AA51="n.v.t",0,AA51),AA33),AA25),AA17)</f>
        <v>0</v>
      </c>
      <c r="AF10" s="1951"/>
    </row>
    <row r="11" spans="1:32" ht="15.75" thickBot="1" x14ac:dyDescent="0.3">
      <c r="A11" s="24" t="s">
        <v>955</v>
      </c>
      <c r="B11" s="309" t="s">
        <v>957</v>
      </c>
      <c r="C11" s="2095" t="s">
        <v>106</v>
      </c>
      <c r="D11" s="2093"/>
      <c r="E11" s="2790" t="s">
        <v>946</v>
      </c>
      <c r="F11" s="2710"/>
      <c r="G11" s="2710"/>
      <c r="H11" s="2710"/>
      <c r="I11" s="2710"/>
      <c r="J11" s="2711"/>
      <c r="M11" s="327">
        <f>SUM(M8:M10)</f>
        <v>0</v>
      </c>
      <c r="Q11" s="327">
        <f>SUM(Q8:Q10)</f>
        <v>0</v>
      </c>
      <c r="R11" s="2"/>
      <c r="T11" s="328">
        <f t="shared" ref="T11:U11" si="6">SUM(T8:T10)</f>
        <v>0</v>
      </c>
      <c r="U11" s="328">
        <f t="shared" si="6"/>
        <v>0</v>
      </c>
      <c r="V11" s="328">
        <f t="shared" ref="V11:W11" si="7">SUM(V8:V10)</f>
        <v>0</v>
      </c>
      <c r="W11" s="328">
        <f t="shared" si="7"/>
        <v>0</v>
      </c>
      <c r="X11" s="328">
        <f>SUM(X8:X10)</f>
        <v>0</v>
      </c>
      <c r="Y11" s="328">
        <f>SUM(Y8:Y10)</f>
        <v>0</v>
      </c>
      <c r="Z11" s="327">
        <f>SUM(Z8:Z10)</f>
        <v>0</v>
      </c>
      <c r="AA11" s="2200">
        <f>SUM(AA8:AA10)</f>
        <v>0</v>
      </c>
      <c r="AF11" s="1951"/>
    </row>
    <row r="12" spans="1:32" ht="15.75" thickBot="1" x14ac:dyDescent="0.3">
      <c r="A12" s="26" t="s">
        <v>956</v>
      </c>
      <c r="B12" s="1947" t="s">
        <v>954</v>
      </c>
      <c r="C12" s="992">
        <v>0.5</v>
      </c>
      <c r="D12" s="2059"/>
      <c r="E12" s="2791"/>
      <c r="F12" s="2713"/>
      <c r="G12" s="2713"/>
      <c r="H12" s="2713"/>
      <c r="I12" s="2713"/>
      <c r="J12" s="2714"/>
      <c r="Z12" s="2202"/>
      <c r="AF12" s="1951"/>
    </row>
    <row r="13" spans="1:32" ht="15.75" customHeight="1" thickBot="1" x14ac:dyDescent="0.3">
      <c r="A13" s="2097" t="s">
        <v>476</v>
      </c>
      <c r="B13" s="2092" t="s">
        <v>958</v>
      </c>
      <c r="C13" s="2792" t="s">
        <v>961</v>
      </c>
      <c r="D13" s="2713"/>
      <c r="E13" s="2713"/>
      <c r="F13" s="2713"/>
      <c r="G13" s="2713"/>
      <c r="H13" s="2713"/>
      <c r="I13" s="2713"/>
      <c r="J13" s="2714"/>
      <c r="L13" s="20" t="str">
        <f>"Belasting schijf box 1 "&amp;BGJaarBerekening&amp;" AOW leeftijd nog niet bereikt"</f>
        <v>Belasting schijf box 1 2025 AOW leeftijd nog niet bereikt</v>
      </c>
      <c r="N13" s="2"/>
      <c r="P13" s="21" t="s">
        <v>107</v>
      </c>
      <c r="S13" s="22"/>
      <c r="T13" s="2690" t="s">
        <v>1048</v>
      </c>
      <c r="U13" s="2690" t="s">
        <v>1048</v>
      </c>
      <c r="V13" s="2690" t="s">
        <v>1048</v>
      </c>
      <c r="W13" s="2690" t="s">
        <v>1048</v>
      </c>
      <c r="X13" s="2690" t="s">
        <v>1048</v>
      </c>
      <c r="Y13" s="2690" t="s">
        <v>1048</v>
      </c>
      <c r="Z13" s="2726" t="s">
        <v>439</v>
      </c>
      <c r="AA13" s="2726" t="s">
        <v>440</v>
      </c>
      <c r="AF13" s="1951"/>
    </row>
    <row r="14" spans="1:32" ht="15.75" thickBot="1" x14ac:dyDescent="0.3">
      <c r="L14" s="39" t="s">
        <v>167</v>
      </c>
      <c r="M14" s="765" t="s">
        <v>241</v>
      </c>
      <c r="N14" s="33" t="s">
        <v>518</v>
      </c>
      <c r="O14" s="33" t="s">
        <v>77</v>
      </c>
      <c r="P14" s="55" t="s">
        <v>1037</v>
      </c>
      <c r="Q14" s="50" t="str">
        <f>BGPartner_AP</f>
        <v>A. Plichtig</v>
      </c>
      <c r="R14" s="50" t="str">
        <f>BGPartner_AG</f>
        <v>A. Gerechtigd</v>
      </c>
      <c r="S14" s="938" t="s">
        <v>110</v>
      </c>
      <c r="T14" s="2689"/>
      <c r="U14" s="2689"/>
      <c r="V14" s="2689"/>
      <c r="W14" s="2689"/>
      <c r="X14" s="2689"/>
      <c r="Y14" s="2689"/>
      <c r="Z14" s="2727"/>
      <c r="AA14" s="2727"/>
      <c r="AF14" s="1951"/>
    </row>
    <row r="15" spans="1:32" ht="15.75" thickBot="1" x14ac:dyDescent="0.3">
      <c r="A15" s="8" t="s">
        <v>223</v>
      </c>
      <c r="B15" s="125" t="s">
        <v>305</v>
      </c>
      <c r="C15" s="60" t="s">
        <v>128</v>
      </c>
      <c r="D15" s="2778" t="s">
        <v>191</v>
      </c>
      <c r="E15" s="2758"/>
      <c r="F15" s="2758"/>
      <c r="G15" s="2758"/>
      <c r="H15" s="2758"/>
      <c r="I15" s="2758"/>
      <c r="J15" s="2759"/>
      <c r="L15" s="569">
        <v>1</v>
      </c>
      <c r="M15" s="962">
        <v>0</v>
      </c>
      <c r="N15" s="669">
        <v>38441</v>
      </c>
      <c r="O15" s="954">
        <v>0.35820000000000002</v>
      </c>
      <c r="P15" s="678">
        <f>O15*(N15-1)</f>
        <v>13769.208000000001</v>
      </c>
      <c r="Q15" s="1277">
        <f>IF(BGAOWLeeftijdBereikt_AP="Nee",IF(AL94VerzInkomen_AP&gt;($N15-1),($N15-1)*$O15,$N$4*$O15),"n.v.t")</f>
        <v>0</v>
      </c>
      <c r="R15" s="464">
        <f>IF(BGAOWLeeftijdBereikt_AG="Nee",IF(AL94VerzInkomen_AG&gt;($N15-1),($N15-1)*$O15,AL94VerzInkomen_AG*$O15),"n.v.t")</f>
        <v>0</v>
      </c>
      <c r="S15" s="2175" t="str">
        <f>L15&amp;": "&amp;M15&amp;" tot "&amp;N15&amp;" tarief: "&amp;(O15*100)&amp;"% - Max. "&amp;ROUND(P15,0)</f>
        <v>1: 0 tot 38441 tarief: 35,82% - Max. 13769</v>
      </c>
      <c r="T15" s="464">
        <f t="shared" ref="T15:Y15" si="8">IF(BGAOWLeeftijdBereikt_AP="Nee",IF(T$5&gt;($N15-1),($N15-1)*$O15,T$5*$O15),"n.v.t")</f>
        <v>0</v>
      </c>
      <c r="U15" s="464">
        <f t="shared" si="8"/>
        <v>0</v>
      </c>
      <c r="V15" s="464">
        <f t="shared" si="8"/>
        <v>0</v>
      </c>
      <c r="W15" s="464">
        <f t="shared" si="8"/>
        <v>0</v>
      </c>
      <c r="X15" s="464">
        <f t="shared" si="8"/>
        <v>0</v>
      </c>
      <c r="Y15" s="464">
        <f t="shared" si="8"/>
        <v>0</v>
      </c>
      <c r="Z15" s="468">
        <f>IF(BGAOWLeeftijdBereikt_AG="Nee",IF($Z$5&lt;=$M15,0,IF($Z$5&gt;($N15-1)-$P$15,($N15-1)-$P$15,$Z$5)),"n.v.t")</f>
        <v>0</v>
      </c>
      <c r="AA15" s="468">
        <f>IF(Z15="n.v.t",Z15,Z15/(1-$O15))</f>
        <v>0</v>
      </c>
      <c r="AF15" s="1951"/>
    </row>
    <row r="16" spans="1:32" x14ac:dyDescent="0.25">
      <c r="A16" s="24" t="s">
        <v>477</v>
      </c>
      <c r="B16" s="309" t="s">
        <v>378</v>
      </c>
      <c r="C16" s="940">
        <v>45658</v>
      </c>
      <c r="D16" s="2779" t="str">
        <f>CONCATENATE("Vul hier een datum BINNEN ",LEFT(C22,4)," in, dit is de startdatum waarop de berekening moet worden vastgezet")</f>
        <v>Vul hier een datum BINNEN 2025 in, dit is de startdatum waarop de berekening moet worden vastgezet</v>
      </c>
      <c r="E16" s="2780"/>
      <c r="F16" s="2780"/>
      <c r="G16" s="2780"/>
      <c r="H16" s="2780"/>
      <c r="I16" s="2780"/>
      <c r="J16" s="2781"/>
      <c r="L16" s="254">
        <v>2</v>
      </c>
      <c r="M16" s="964">
        <f>N15</f>
        <v>38441</v>
      </c>
      <c r="N16" s="649">
        <v>76816</v>
      </c>
      <c r="O16" s="701">
        <v>0.37480000000000002</v>
      </c>
      <c r="P16" s="197">
        <f>O16*(N16-N15-1)</f>
        <v>14382.575200000001</v>
      </c>
      <c r="Q16" s="465">
        <f>IF(BGAOWLeeftijdBereikt_AP="Nee",IF(AL94VerzInkomen_AP&lt;$M16,0,IF(AL94VerzInkomen_AP&gt;$N16,($N16-$N15-1)*$O16,(AL94VerzInkomen_AP-$N15)*$O16)),"n.v.t")</f>
        <v>0</v>
      </c>
      <c r="R16" s="465">
        <f>IF(BGAOWLeeftijdBereikt_AG="Nee",IF(AL94VerzInkomen_AG&lt;$M16,0,IF(AL94VerzInkomen_AG&gt;$N16,($N16-$N15-1)*$O16,(AL94VerzInkomen_AG-$N15)*$O16)),"n.v.t")</f>
        <v>0</v>
      </c>
      <c r="S16" s="2176" t="str">
        <f>L16&amp;": "&amp;M16&amp;" tot "&amp;N16&amp;" tarief: "&amp;(O16*100)&amp;"% - Max. "&amp;ROUND(P16,0)</f>
        <v>2: 38441 tot 76816 tarief: 37,48% - Max. 14383</v>
      </c>
      <c r="T16" s="465">
        <f t="shared" ref="T16:Y16" si="9">IF(BGAOWLeeftijdBereikt_AP="Nee",IF(T$5&lt;$M16,0,IF(T$5&gt;$N16,($N16-$N15-1)*$O16,(T$5-$N15)*$O16)),"n.v.t")</f>
        <v>0</v>
      </c>
      <c r="U16" s="465">
        <f t="shared" si="9"/>
        <v>0</v>
      </c>
      <c r="V16" s="465">
        <f t="shared" si="9"/>
        <v>0</v>
      </c>
      <c r="W16" s="465">
        <f t="shared" si="9"/>
        <v>0</v>
      </c>
      <c r="X16" s="465">
        <f t="shared" si="9"/>
        <v>0</v>
      </c>
      <c r="Y16" s="465">
        <f t="shared" si="9"/>
        <v>0</v>
      </c>
      <c r="Z16" s="468">
        <f>IF(BGAOWLeeftijdBereikt_AG="Nee",IF($Z$5&lt;$M16-$P$15,0,IF($Z$5&gt;$N$16-SUM($P$31:$P32),$N16-$M16-$P16,$Z$5-$Z$15)),"n.v.t")</f>
        <v>0</v>
      </c>
      <c r="AA16" s="468">
        <f>IF(Z16="n.v.t",Z16,Z16/(1-$O16))</f>
        <v>0</v>
      </c>
      <c r="AB16" s="306"/>
      <c r="AF16" s="1951"/>
    </row>
    <row r="17" spans="1:32" ht="15.75" thickBot="1" x14ac:dyDescent="0.3">
      <c r="A17" s="26" t="s">
        <v>478</v>
      </c>
      <c r="B17" s="310" t="s">
        <v>306</v>
      </c>
      <c r="C17" s="1205">
        <f>_xlfn.NUMBERVALUE(LEFT(C22,4),",",".")</f>
        <v>2025</v>
      </c>
      <c r="D17" s="2782" t="s">
        <v>520</v>
      </c>
      <c r="E17" s="2783"/>
      <c r="F17" s="2783"/>
      <c r="G17" s="2783"/>
      <c r="H17" s="2783"/>
      <c r="I17" s="2783"/>
      <c r="J17" s="2784"/>
      <c r="L17" s="518">
        <v>3</v>
      </c>
      <c r="M17" s="966">
        <f>N16</f>
        <v>76816</v>
      </c>
      <c r="N17" s="680"/>
      <c r="O17" s="681">
        <v>0.495</v>
      </c>
      <c r="P17" s="203">
        <f>IF($N$4&lt;$M17,0,($N$4-$N16-1)*$O17)</f>
        <v>0</v>
      </c>
      <c r="Q17" s="466">
        <f>IF(BGAOWLeeftijdBereikt_AP="Nee",IF(AL94VerzInkomen_AP&lt;$M17,0,(AL94VerzInkomen_AP-$N16)*$O17),"n.v.t")</f>
        <v>0</v>
      </c>
      <c r="R17" s="466">
        <f>IF(BGAOWLeeftijdBereikt_AG="Nee",IF(AL94VerzInkomen_AG&lt;$M17,0,(AL94VerzInkomen_AG-$N16)*$O17),"n.v.t")</f>
        <v>0</v>
      </c>
      <c r="S17" s="2177" t="str">
        <f>L17&amp;": vanaf "&amp;M17&amp;" tarief: "&amp;(O17*100)&amp;"%"</f>
        <v>3: vanaf 76816 tarief: 49,5%</v>
      </c>
      <c r="T17" s="470">
        <f t="shared" ref="T17:Y17" si="10">IF(BGAOWLeeftijdBereikt_AP="Nee",IF(T$5&lt;$M17,0,(T$5-($N16-1))*$O17),"n.v.t")</f>
        <v>0</v>
      </c>
      <c r="U17" s="470">
        <f t="shared" si="10"/>
        <v>0</v>
      </c>
      <c r="V17" s="470">
        <f t="shared" si="10"/>
        <v>0</v>
      </c>
      <c r="W17" s="470">
        <f t="shared" si="10"/>
        <v>0</v>
      </c>
      <c r="X17" s="470">
        <f t="shared" si="10"/>
        <v>0</v>
      </c>
      <c r="Y17" s="470">
        <f t="shared" si="10"/>
        <v>0</v>
      </c>
      <c r="Z17" s="470">
        <f>IF(BGAOWLeeftijdBereikt_AG="Nee",IF($Z$5&lt;$M17-SUM($P15:$P16),0,IF($Z$5&gt;=$M17-SUM($P15:$P16),$Z$5-SUM($Z$15:$Z$16))),"n.v.t")</f>
        <v>0</v>
      </c>
      <c r="AA17" s="470">
        <f>IF(Z17="n.v.t",Z17,Z17/(1-$O17))</f>
        <v>0</v>
      </c>
      <c r="AB17" s="306"/>
      <c r="AF17" s="1951"/>
    </row>
    <row r="18" spans="1:32" ht="15.75" thickBot="1" x14ac:dyDescent="0.3">
      <c r="O18" s="2700" t="s">
        <v>180</v>
      </c>
      <c r="P18" s="2701"/>
      <c r="Q18" s="327">
        <f>SUM(Q15:Q17)</f>
        <v>0</v>
      </c>
      <c r="R18" s="327">
        <f>SUM(R15:R17)</f>
        <v>0</v>
      </c>
      <c r="T18" s="386">
        <f t="shared" ref="T18:U18" si="11">SUM(T15:T17)</f>
        <v>0</v>
      </c>
      <c r="U18" s="386">
        <f t="shared" si="11"/>
        <v>0</v>
      </c>
      <c r="V18" s="386">
        <f t="shared" ref="V18:W18" si="12">SUM(V15:V17)</f>
        <v>0</v>
      </c>
      <c r="W18" s="386">
        <f t="shared" si="12"/>
        <v>0</v>
      </c>
      <c r="X18" s="386">
        <f>SUM(X15:X17)</f>
        <v>0</v>
      </c>
      <c r="Y18" s="386">
        <f>SUM(Y15:Y17)</f>
        <v>0</v>
      </c>
      <c r="Z18" s="386">
        <f>SUM(Z15:Z17)</f>
        <v>0</v>
      </c>
      <c r="AA18" s="386">
        <f>SUM(AA15:AA17)</f>
        <v>0</v>
      </c>
      <c r="AF18" s="1951"/>
    </row>
    <row r="19" spans="1:32" ht="15.75" customHeight="1" thickBot="1" x14ac:dyDescent="0.3">
      <c r="A19" s="8" t="s">
        <v>223</v>
      </c>
      <c r="B19" s="125" t="s">
        <v>698</v>
      </c>
      <c r="C19" s="23" t="s">
        <v>128</v>
      </c>
      <c r="D19" s="2778" t="s">
        <v>191</v>
      </c>
      <c r="E19" s="2758"/>
      <c r="F19" s="2758"/>
      <c r="G19" s="2758"/>
      <c r="H19" s="2758"/>
      <c r="I19" s="2758"/>
      <c r="J19" s="2759"/>
      <c r="U19" s="306"/>
      <c r="W19" s="306"/>
      <c r="Y19" s="306"/>
      <c r="Z19" s="306"/>
      <c r="AF19" s="1951"/>
    </row>
    <row r="20" spans="1:32" ht="15.75" customHeight="1" thickBot="1" x14ac:dyDescent="0.3">
      <c r="A20" s="24" t="s">
        <v>479</v>
      </c>
      <c r="B20" s="311" t="s">
        <v>970</v>
      </c>
      <c r="C20" s="312"/>
      <c r="D20" s="2779" t="s">
        <v>919</v>
      </c>
      <c r="E20" s="2780"/>
      <c r="F20" s="2780"/>
      <c r="G20" s="2780"/>
      <c r="H20" s="2780"/>
      <c r="I20" s="2780"/>
      <c r="J20" s="2781"/>
      <c r="L20" s="20" t="str">
        <f>"Belasting schijf box 1 AOW leeftijd is VOOR "&amp;BGJaarBerekening&amp;" bereikt EN:"</f>
        <v>Belasting schijf box 1 AOW leeftijd is VOOR 2025 bereikt EN:</v>
      </c>
      <c r="N20" s="2"/>
      <c r="P20" s="21" t="s">
        <v>107</v>
      </c>
      <c r="AF20" s="1951"/>
    </row>
    <row r="21" spans="1:32" ht="15.75" customHeight="1" thickBot="1" x14ac:dyDescent="0.3">
      <c r="A21" s="26" t="s">
        <v>959</v>
      </c>
      <c r="B21" s="310" t="str">
        <f>"Eerder vastgesteld NBI in "&amp;C20&amp;" (= het jaar van scheiding)"</f>
        <v>Eerder vastgesteld NBI in  (= het jaar van scheiding)</v>
      </c>
      <c r="C21" s="313">
        <v>0</v>
      </c>
      <c r="D21" s="2782" t="s">
        <v>697</v>
      </c>
      <c r="E21" s="2783"/>
      <c r="F21" s="2783"/>
      <c r="G21" s="2783"/>
      <c r="H21" s="2783"/>
      <c r="I21" s="2783"/>
      <c r="J21" s="2784"/>
      <c r="M21" s="205" t="s">
        <v>181</v>
      </c>
      <c r="N21" s="206">
        <v>16803</v>
      </c>
      <c r="O21" s="51"/>
      <c r="P21" s="51"/>
      <c r="Q21" s="51"/>
      <c r="R21" s="51"/>
      <c r="S21" s="51"/>
      <c r="T21" s="2690" t="s">
        <v>1048</v>
      </c>
      <c r="U21" s="2690" t="s">
        <v>1048</v>
      </c>
      <c r="V21" s="2690" t="s">
        <v>1048</v>
      </c>
      <c r="W21" s="2690" t="s">
        <v>1048</v>
      </c>
      <c r="X21" s="2690" t="s">
        <v>1048</v>
      </c>
      <c r="Y21" s="2690" t="s">
        <v>1048</v>
      </c>
      <c r="Z21" s="2728" t="s">
        <v>439</v>
      </c>
      <c r="AA21" s="2726" t="s">
        <v>440</v>
      </c>
      <c r="AF21" s="1951"/>
    </row>
    <row r="22" spans="1:32" ht="15.75" thickBot="1" x14ac:dyDescent="0.3">
      <c r="A22" s="324" t="s">
        <v>960</v>
      </c>
      <c r="B22" s="774" t="s">
        <v>519</v>
      </c>
      <c r="C22" s="2785" t="s">
        <v>1016</v>
      </c>
      <c r="D22" s="2786"/>
      <c r="L22" s="54" t="s">
        <v>167</v>
      </c>
      <c r="M22" s="57" t="s">
        <v>241</v>
      </c>
      <c r="N22" s="52" t="s">
        <v>518</v>
      </c>
      <c r="O22" s="33" t="s">
        <v>77</v>
      </c>
      <c r="P22" s="55" t="s">
        <v>0</v>
      </c>
      <c r="Q22" s="50" t="str">
        <f>BGPartner_AP</f>
        <v>A. Plichtig</v>
      </c>
      <c r="R22" s="42" t="str">
        <f>BGPartner_AG</f>
        <v>A. Gerechtigd</v>
      </c>
      <c r="S22" s="1284" t="s">
        <v>110</v>
      </c>
      <c r="T22" s="2689"/>
      <c r="U22" s="2689"/>
      <c r="V22" s="2689"/>
      <c r="W22" s="2689"/>
      <c r="X22" s="2689"/>
      <c r="Y22" s="2689"/>
      <c r="Z22" s="2729"/>
      <c r="AA22" s="2727"/>
      <c r="AF22" s="1951"/>
    </row>
    <row r="23" spans="1:32" ht="16.5" thickBot="1" x14ac:dyDescent="0.3">
      <c r="C23" s="2"/>
      <c r="D23" s="2"/>
      <c r="E23" s="300"/>
      <c r="L23" s="56">
        <v>1</v>
      </c>
      <c r="M23" s="669">
        <v>0</v>
      </c>
      <c r="N23" s="669">
        <v>40502</v>
      </c>
      <c r="O23" s="954">
        <v>0.1792</v>
      </c>
      <c r="P23" s="195">
        <f>O23*(N23-1)</f>
        <v>7257.7791999999999</v>
      </c>
      <c r="Q23" s="464" t="str">
        <f>IF(AND(C$5&lt;$N$21,BGAOWLeeftijdBereikt_AP="Ja"),IF(AL94VerzInkomen_AP&gt;($N23-1),($N23-1)*$O23,AL94VerzInkomen_AP*$O23),"n.v.t")</f>
        <v>n.v.t</v>
      </c>
      <c r="R23" s="935" t="str">
        <f>IF(AND(D$5&lt;$N$21,BGAOWLeeftijdBereikt_AG="Ja"),IF(AL94VerzInkomen_AG&gt;($N23-1),($N23-1)*$O23,AL94VerzInkomen_AG*$O23),"n.v.t")</f>
        <v>n.v.t</v>
      </c>
      <c r="S23" s="196" t="str">
        <f>L23&amp;": "&amp;M23&amp;" tot "&amp;N23&amp;" tarief: "&amp;(O23*100)&amp;"% - Max. "&amp;ROUND(P23,0)</f>
        <v>1: 0 tot 40502 tarief: 17,92% - Max. 7258</v>
      </c>
      <c r="T23" s="464" t="str">
        <f t="shared" ref="T23:Y23" si="13">IF(AND($C$5&lt;$N$21,BGAOWLeeftijdBereikt_AP="Ja"),IF(T$5&gt;($N23-1),($N23-1)*$O23,T$5*$O23),"n.v.t")</f>
        <v>n.v.t</v>
      </c>
      <c r="U23" s="464" t="str">
        <f t="shared" si="13"/>
        <v>n.v.t</v>
      </c>
      <c r="V23" s="464" t="str">
        <f t="shared" si="13"/>
        <v>n.v.t</v>
      </c>
      <c r="W23" s="464" t="str">
        <f t="shared" si="13"/>
        <v>n.v.t</v>
      </c>
      <c r="X23" s="464" t="str">
        <f t="shared" si="13"/>
        <v>n.v.t</v>
      </c>
      <c r="Y23" s="464" t="str">
        <f t="shared" si="13"/>
        <v>n.v.t</v>
      </c>
      <c r="Z23" s="469" t="str">
        <f>IF(AND($D$5&lt;$N$21,BGAOWLeeftijdBereikt_AG="Ja"),IF($Z$5&lt;=M23,0,IF($Z$5&gt;($N23-1)-P23,($N23-1)-P23,$Z$5)),"n.v.t")</f>
        <v>n.v.t</v>
      </c>
      <c r="AA23" s="468" t="str">
        <f>IF(Z23="n.v.t",Z23,Z23/(1-$O23))</f>
        <v>n.v.t</v>
      </c>
      <c r="AF23" s="1951"/>
    </row>
    <row r="24" spans="1:32" ht="15.75" thickBot="1" x14ac:dyDescent="0.3">
      <c r="A24" s="144"/>
      <c r="B24" s="321" t="s">
        <v>319</v>
      </c>
      <c r="C24" s="53" t="str">
        <f>BGPartner_AP</f>
        <v>A. Plichtig</v>
      </c>
      <c r="E24" s="18" t="str">
        <f>BGPartner_AG</f>
        <v>A. Gerechtigd</v>
      </c>
      <c r="L24" s="25">
        <v>2</v>
      </c>
      <c r="M24" s="661">
        <f>N23</f>
        <v>40502</v>
      </c>
      <c r="N24" s="649">
        <v>76817</v>
      </c>
      <c r="O24" s="701">
        <v>0.37480000000000002</v>
      </c>
      <c r="P24" s="197">
        <f>O24*(N24-N23-1)</f>
        <v>13610.487200000001</v>
      </c>
      <c r="Q24" s="465" t="str">
        <f>IF(AND(C$5&lt;$N$21,BGAOWLeeftijdBereikt_AP="Ja"),IF(AL94VerzInkomen_AP&lt;$M24,0,IF(AL94VerzInkomen_AP&gt;$N24,($N24-$N23)*$O24,(AL94VerzInkomen_AP-$N23)*$O24)),"n.v.t")</f>
        <v>n.v.t</v>
      </c>
      <c r="R24" s="936" t="str">
        <f>IF(AND(D$5&lt;$N$21,BGAOWLeeftijdBereikt_AG="Ja"),IF(AL94VerzInkomen_AG&lt;$M24,0,IF(AL94VerzInkomen_AG&gt;$N24,($N24-$N23)*$O24,(AL94VerzInkomen_AG-$N23)*$O24)),"n.v.t")</f>
        <v>n.v.t</v>
      </c>
      <c r="S24" s="198" t="str">
        <f>L24&amp;": "&amp;M24&amp;" tot "&amp;N24&amp;" tarief: "&amp;(O24*100)&amp;"% - Max. "&amp;ROUND(P24,0)</f>
        <v>2: 40502 tot 76817 tarief: 37,48% - Max. 13610</v>
      </c>
      <c r="T24" s="465" t="str">
        <f t="shared" ref="T24:Y24" si="14">IF(AND($C$5&lt;$N$21,BGAOWLeeftijdBereikt_AP="Ja"),IF(T$5&lt;$M24,0,IF(T$5&gt;$N24,($N24-$N23)*$O24,(T$5-$N23)*$O24)),"n.v.t")</f>
        <v>n.v.t</v>
      </c>
      <c r="U24" s="465" t="str">
        <f t="shared" si="14"/>
        <v>n.v.t</v>
      </c>
      <c r="V24" s="465" t="str">
        <f t="shared" si="14"/>
        <v>n.v.t</v>
      </c>
      <c r="W24" s="465" t="str">
        <f t="shared" si="14"/>
        <v>n.v.t</v>
      </c>
      <c r="X24" s="465" t="str">
        <f t="shared" si="14"/>
        <v>n.v.t</v>
      </c>
      <c r="Y24" s="465" t="str">
        <f t="shared" si="14"/>
        <v>n.v.t</v>
      </c>
      <c r="Z24" s="467" t="str">
        <f>IF(AND($D$5&lt;$N$21,BGAOWLeeftijdBereikt_AG="Ja"),IF($Z$5&lt;M24-P23,0,IF($Z$5&gt;N24-SUM(P23:P24),N24-M24-P24,$Z$5-SUM(Z$23:Z23))),"n.v.t")</f>
        <v>n.v.t</v>
      </c>
      <c r="AA24" s="465" t="str">
        <f>IF(Z24="n.v.t",Z24,Z24/(1-$O24))</f>
        <v>n.v.t</v>
      </c>
      <c r="AF24" s="1951"/>
    </row>
    <row r="25" spans="1:32" ht="15.75" thickBot="1" x14ac:dyDescent="0.3">
      <c r="B25" s="250" t="s">
        <v>323</v>
      </c>
      <c r="C25" s="40" t="s">
        <v>91</v>
      </c>
      <c r="D25" s="303" t="s">
        <v>323</v>
      </c>
      <c r="E25" s="40" t="s">
        <v>91</v>
      </c>
      <c r="F25" s="2" t="s">
        <v>785</v>
      </c>
      <c r="L25" s="27">
        <v>3</v>
      </c>
      <c r="M25" s="679">
        <f>N24</f>
        <v>76817</v>
      </c>
      <c r="N25" s="680"/>
      <c r="O25" s="681">
        <v>0.495</v>
      </c>
      <c r="P25" s="203">
        <f>IF($N$4&lt;$M25,0,($N$4-$N24-1)*$O25)</f>
        <v>0</v>
      </c>
      <c r="Q25" s="466" t="str">
        <f>IF(AND(C$5&lt;$N$21,BGAOWLeeftijdBereikt_AP="Ja"),IF(AL94VerzInkomen_AP&lt;$M25,0,(AL94VerzInkomen_AP-$N24)*$O25),"n.v.t")</f>
        <v>n.v.t</v>
      </c>
      <c r="R25" s="937" t="str">
        <f>IF(AND(D$5&lt;$N$21,BGAOWLeeftijdBereikt_AG="Ja"),IF(AL94VerzInkomen_AG&lt;$M25,0,(AL94VerzInkomen_AG-$N24)*$O25),"n.v.t")</f>
        <v>n.v.t</v>
      </c>
      <c r="S25" s="199" t="str">
        <f>L25&amp;": vanaf "&amp;M25&amp;" tarief: "&amp;(O25*100)&amp;"%"</f>
        <v>3: vanaf 76817 tarief: 49,5%</v>
      </c>
      <c r="T25" s="466" t="str">
        <f t="shared" ref="T25:Y25" si="15">IF(AND($C$5&lt;$N$21,BGAOWLeeftijdBereikt_AP="Ja"),IF(T$5&lt;$M25,0,(T$5-$N24)*$O25),"n.v.t")</f>
        <v>n.v.t</v>
      </c>
      <c r="U25" s="466" t="str">
        <f t="shared" si="15"/>
        <v>n.v.t</v>
      </c>
      <c r="V25" s="466" t="str">
        <f t="shared" si="15"/>
        <v>n.v.t</v>
      </c>
      <c r="W25" s="466" t="str">
        <f t="shared" si="15"/>
        <v>n.v.t</v>
      </c>
      <c r="X25" s="466" t="str">
        <f t="shared" si="15"/>
        <v>n.v.t</v>
      </c>
      <c r="Y25" s="466" t="str">
        <f t="shared" si="15"/>
        <v>n.v.t</v>
      </c>
      <c r="Z25" s="467" t="str">
        <f>IF(AND($D$5&lt;$N$21,BGAOWLeeftijdBereikt_AG="Ja"),IF($Z$5&lt;M25-SUM(P23:P24),0,IF($Z$5&gt;=M25-SUM(P23:P24),$Z$5-SUM(Z$23:Z24))),"n.v.t")</f>
        <v>n.v.t</v>
      </c>
      <c r="AA25" s="470" t="str">
        <f>IF(Z25="n.v.t",Z25,Z25/(1-$O25))</f>
        <v>n.v.t</v>
      </c>
      <c r="AF25" s="1951"/>
    </row>
    <row r="26" spans="1:32" ht="15.75" thickBot="1" x14ac:dyDescent="0.3">
      <c r="A26" s="39" t="s">
        <v>223</v>
      </c>
      <c r="B26" s="132" t="s">
        <v>70</v>
      </c>
      <c r="C26" s="18" t="str">
        <f>IF(C25="Maand","Per Maand",IF(C25="4 Weken","Per 4-weken",IF(C25="Anders","Anders","")))</f>
        <v>Per Maand</v>
      </c>
      <c r="D26" s="105" t="s">
        <v>322</v>
      </c>
      <c r="E26" s="18" t="str">
        <f>IF(E25="Maand","Per Maand",IF(E25="4 Weken","Per 4-weken",IF(E25="Anders","Anders","")))</f>
        <v>Per Maand</v>
      </c>
      <c r="F26" s="60" t="s">
        <v>322</v>
      </c>
      <c r="G26" s="2778" t="s">
        <v>191</v>
      </c>
      <c r="H26" s="2758"/>
      <c r="I26" s="2758"/>
      <c r="J26" s="2759"/>
      <c r="O26" s="2715" t="s">
        <v>180</v>
      </c>
      <c r="P26" s="2800"/>
      <c r="Q26" s="386">
        <f>SUM(Q23:Q25)</f>
        <v>0</v>
      </c>
      <c r="R26" s="509">
        <f>SUM(R23:R25)</f>
        <v>0</v>
      </c>
      <c r="S26" s="14"/>
      <c r="T26" s="472">
        <f t="shared" ref="T26:U26" si="16">SUM(T23:T25)</f>
        <v>0</v>
      </c>
      <c r="U26" s="386">
        <f t="shared" si="16"/>
        <v>0</v>
      </c>
      <c r="V26" s="472">
        <f t="shared" ref="V26:W26" si="17">SUM(V23:V25)</f>
        <v>0</v>
      </c>
      <c r="W26" s="386">
        <f t="shared" si="17"/>
        <v>0</v>
      </c>
      <c r="X26" s="472">
        <f>SUM(X23:X25)</f>
        <v>0</v>
      </c>
      <c r="Y26" s="386">
        <f>SUM(Y23:Y25)</f>
        <v>0</v>
      </c>
      <c r="Z26" s="472">
        <f>SUM(Z23:Z25)</f>
        <v>0</v>
      </c>
      <c r="AA26" s="386">
        <f>SUM(AA23:AA25)</f>
        <v>0</v>
      </c>
      <c r="AF26" s="1951"/>
    </row>
    <row r="27" spans="1:32" ht="15.75" customHeight="1" x14ac:dyDescent="0.25">
      <c r="A27" s="24"/>
      <c r="B27" s="322" t="s">
        <v>320</v>
      </c>
      <c r="C27" s="67">
        <v>0</v>
      </c>
      <c r="D27" s="797">
        <f>IF(C$25="Maand",C27*12,IF(C$25="4 Weken",C27*13,IF(C$25="Week",C27*52,0)))</f>
        <v>0</v>
      </c>
      <c r="E27" s="67">
        <v>0</v>
      </c>
      <c r="F27" s="797">
        <f>IF(E$25="Maand",E27*12,IF(E$25="4 Weken",E27*13,IF(E$25="Week",E27*52,0)))</f>
        <v>0</v>
      </c>
      <c r="G27" s="2734" t="s">
        <v>393</v>
      </c>
      <c r="H27" s="2735"/>
      <c r="I27" s="2735"/>
      <c r="J27" s="2736"/>
      <c r="AF27" s="1951"/>
    </row>
    <row r="28" spans="1:32" ht="15.75" customHeight="1" thickBot="1" x14ac:dyDescent="0.3">
      <c r="A28" s="26"/>
      <c r="B28" s="323" t="s">
        <v>321</v>
      </c>
      <c r="C28" s="251">
        <v>0</v>
      </c>
      <c r="D28" s="798">
        <f>IF(C$25="Maand",C28*12,IF(C$25="4 Weken",C28*13,IF(C$25="Week",C28*52,0)))</f>
        <v>0</v>
      </c>
      <c r="E28" s="251">
        <v>0</v>
      </c>
      <c r="F28" s="798">
        <f>IF(E$25="Maand",E28*12,IF(E$25="4 Weken",E28*13,IF(E$25="Week",E28*52,0)))</f>
        <v>0</v>
      </c>
      <c r="G28" s="2782" t="s">
        <v>393</v>
      </c>
      <c r="H28" s="2783"/>
      <c r="I28" s="2783"/>
      <c r="J28" s="2784"/>
      <c r="L28" s="20" t="str">
        <f>"Belasting schijf box 1 AOW leeftijd is VOOR "&amp;BGJaarBerekening&amp;" bereikt EN:"</f>
        <v>Belasting schijf box 1 AOW leeftijd is VOOR 2025 bereikt EN:</v>
      </c>
      <c r="N28" s="2"/>
      <c r="P28" s="21" t="s">
        <v>107</v>
      </c>
      <c r="S28" s="22"/>
      <c r="AF28" s="1951"/>
    </row>
    <row r="29" spans="1:32" ht="15.75" customHeight="1" thickBot="1" x14ac:dyDescent="0.3">
      <c r="A29" s="147"/>
      <c r="B29" s="98" t="s">
        <v>324</v>
      </c>
      <c r="C29" s="41">
        <f>C27-C28</f>
        <v>0</v>
      </c>
      <c r="D29" s="252">
        <f>D27-D28</f>
        <v>0</v>
      </c>
      <c r="E29" s="41">
        <f>E27-E28</f>
        <v>0</v>
      </c>
      <c r="F29" s="240">
        <f>F27-F28</f>
        <v>0</v>
      </c>
      <c r="M29" s="933" t="s">
        <v>396</v>
      </c>
      <c r="N29" s="934">
        <f>N21</f>
        <v>16803</v>
      </c>
      <c r="S29" s="51"/>
      <c r="T29" s="2690" t="s">
        <v>1048</v>
      </c>
      <c r="U29" s="2690" t="s">
        <v>1048</v>
      </c>
      <c r="V29" s="2690" t="s">
        <v>1048</v>
      </c>
      <c r="W29" s="2690" t="s">
        <v>1048</v>
      </c>
      <c r="X29" s="2690" t="s">
        <v>1048</v>
      </c>
      <c r="Y29" s="2690" t="s">
        <v>1048</v>
      </c>
      <c r="Z29" s="2728" t="s">
        <v>439</v>
      </c>
      <c r="AA29" s="2726" t="s">
        <v>440</v>
      </c>
      <c r="AF29" s="1951"/>
    </row>
    <row r="30" spans="1:32" ht="15.75" thickBot="1" x14ac:dyDescent="0.3">
      <c r="L30" s="5" t="s">
        <v>167</v>
      </c>
      <c r="M30" s="239" t="s">
        <v>241</v>
      </c>
      <c r="N30" s="641" t="s">
        <v>518</v>
      </c>
      <c r="O30" s="641" t="s">
        <v>77</v>
      </c>
      <c r="P30" s="244" t="s">
        <v>0</v>
      </c>
      <c r="Q30" s="50" t="str">
        <f>BGPartner_AP</f>
        <v>A. Plichtig</v>
      </c>
      <c r="R30" s="50" t="str">
        <f>BGPartner_AG</f>
        <v>A. Gerechtigd</v>
      </c>
      <c r="S30" s="939" t="s">
        <v>110</v>
      </c>
      <c r="T30" s="2689"/>
      <c r="U30" s="2689"/>
      <c r="V30" s="2689"/>
      <c r="W30" s="2689"/>
      <c r="X30" s="2689"/>
      <c r="Y30" s="2689"/>
      <c r="Z30" s="2729"/>
      <c r="AA30" s="2727"/>
      <c r="AF30" s="1951"/>
    </row>
    <row r="31" spans="1:32" ht="15.75" thickBot="1" x14ac:dyDescent="0.3">
      <c r="C31" s="53" t="str">
        <f>BGPartner_AP</f>
        <v>A. Plichtig</v>
      </c>
      <c r="E31" s="18" t="str">
        <f>BGPartner_AG</f>
        <v>A. Gerechtigd</v>
      </c>
      <c r="L31" s="56">
        <v>1</v>
      </c>
      <c r="M31" s="669">
        <v>0</v>
      </c>
      <c r="N31" s="2108">
        <v>38441</v>
      </c>
      <c r="O31" s="954">
        <v>0.1792</v>
      </c>
      <c r="P31" s="195">
        <f>O31*(N31-1)</f>
        <v>6888.4480000000003</v>
      </c>
      <c r="Q31" s="464" t="str">
        <f>IF(AND(C$5&gt;=$N$29,BGAOWLeeftijdBereikt_AP="Ja"),IF(AL94VerzInkomen_AP&gt;($N31-1),($N31-1)*$O31,AL94VerzInkomen_AP*$O31),"n.v.t")</f>
        <v>n.v.t</v>
      </c>
      <c r="R31" s="464" t="str">
        <f>IF(AND(D$5&gt;=$N$29,BGAOWLeeftijdBereikt_AG="Ja"),IF(AL94VerzInkomen_AG&gt;($N31-1),($N31-1)*$O31,AL94VerzInkomen_AG*$O31),"n.v.t")</f>
        <v>n.v.t</v>
      </c>
      <c r="S31" s="200" t="str">
        <f>L31&amp;": "&amp;M31&amp;" tot "&amp;N31&amp;" tarief: "&amp;(O31*100)&amp;"% - Max. "&amp;ROUND(P31,0)</f>
        <v>1: 0 tot 38441 tarief: 17,92% - Max. 6888</v>
      </c>
      <c r="T31" s="464" t="str">
        <f t="shared" ref="T31:Y31" si="18">IF(AND($C$5&gt;=$N$29,BGAOWLeeftijdBereikt_AP="Ja"),IF(T$5&gt;($N31-1),($N31-1)*$O31,T$5*$O31),"n.v.t")</f>
        <v>n.v.t</v>
      </c>
      <c r="U31" s="464" t="str">
        <f t="shared" si="18"/>
        <v>n.v.t</v>
      </c>
      <c r="V31" s="464" t="str">
        <f t="shared" si="18"/>
        <v>n.v.t</v>
      </c>
      <c r="W31" s="464" t="str">
        <f t="shared" si="18"/>
        <v>n.v.t</v>
      </c>
      <c r="X31" s="464" t="str">
        <f t="shared" si="18"/>
        <v>n.v.t</v>
      </c>
      <c r="Y31" s="464" t="str">
        <f t="shared" si="18"/>
        <v>n.v.t</v>
      </c>
      <c r="Z31" s="469" t="str">
        <f>IF(AND(D$5&gt;=$N$29,BGAOWLeeftijdBereikt_AG="Ja"),IF($Z$5&lt;M31,0,IF($Z$5&gt;($N31-1)-SUM(P$31:P31),($N31-1)-P31,$Z$5)),"n.v.t")</f>
        <v>n.v.t</v>
      </c>
      <c r="AA31" s="468" t="str">
        <f>IF(Z31="n.v.t",Z31,Z31/(1-$O31))</f>
        <v>n.v.t</v>
      </c>
      <c r="AF31" s="1951"/>
    </row>
    <row r="32" spans="1:32" ht="15" customHeight="1" thickBot="1" x14ac:dyDescent="0.3">
      <c r="A32" s="39" t="s">
        <v>223</v>
      </c>
      <c r="B32" s="912" t="s">
        <v>554</v>
      </c>
      <c r="C32" s="911" t="s">
        <v>1</v>
      </c>
      <c r="D32" s="50" t="s">
        <v>94</v>
      </c>
      <c r="E32" s="50" t="s">
        <v>1</v>
      </c>
      <c r="F32" s="50" t="s">
        <v>285</v>
      </c>
      <c r="G32" s="2813" t="s">
        <v>191</v>
      </c>
      <c r="H32" s="2813"/>
      <c r="I32" s="2813"/>
      <c r="J32" s="2814"/>
      <c r="L32" s="25">
        <v>2</v>
      </c>
      <c r="M32" s="661">
        <f>N31</f>
        <v>38441</v>
      </c>
      <c r="N32" s="2109">
        <v>76817</v>
      </c>
      <c r="O32" s="701">
        <v>0.37480000000000002</v>
      </c>
      <c r="P32" s="197">
        <f>O32*(N32-N31-1)</f>
        <v>14382.95</v>
      </c>
      <c r="Q32" s="465" t="str">
        <f>IF(AND(C$5&gt;=$N$29,BGAOWLeeftijdBereikt_AP="Ja"),IF(AL94VerzInkomen_AP&lt;$M32,0,IF(AL94VerzInkomen_AP&gt;$N32,($N32-$N31)*$O32,(AL94VerzInkomen_AP-$N31)*$O32)),"n.v.t")</f>
        <v>n.v.t</v>
      </c>
      <c r="R32" s="465" t="str">
        <f>IF(AND(D$5&gt;=$N$29,BGAOWLeeftijdBereikt_AG="Ja"),IF(AL94VerzInkomen_AG&lt;$M32,0,IF(AL94VerzInkomen_AG&gt;$N32,($N32-$N31)*$O32,(AL94VerzInkomen_AG-$N31)*$O32)),"n.v.t")</f>
        <v>n.v.t</v>
      </c>
      <c r="S32" s="201" t="str">
        <f>L32&amp;": "&amp;M32&amp;" tot "&amp;N32&amp;" tarief: "&amp;(O32*100)&amp;"% - Max. "&amp;ROUND(P32,0)</f>
        <v>2: 38441 tot 76817 tarief: 37,48% - Max. 14383</v>
      </c>
      <c r="T32" s="465" t="str">
        <f t="shared" ref="T32:Y32" si="19">IF(AND($C$5&gt;=$N$29,BGAOWLeeftijdBereikt_AP="Ja"),IF(T$5&lt;$M32,0,IF(T$5&gt;$N32,($N32-$N31)*$O32,(T$5-$N31)*$O32)),"n.v.t")</f>
        <v>n.v.t</v>
      </c>
      <c r="U32" s="465" t="str">
        <f t="shared" si="19"/>
        <v>n.v.t</v>
      </c>
      <c r="V32" s="465" t="str">
        <f t="shared" si="19"/>
        <v>n.v.t</v>
      </c>
      <c r="W32" s="465" t="str">
        <f t="shared" si="19"/>
        <v>n.v.t</v>
      </c>
      <c r="X32" s="465" t="str">
        <f t="shared" si="19"/>
        <v>n.v.t</v>
      </c>
      <c r="Y32" s="465" t="str">
        <f t="shared" si="19"/>
        <v>n.v.t</v>
      </c>
      <c r="Z32" s="467" t="str">
        <f>IF(AND(D$5&gt;=$N$29,BGAOWLeeftijdBereikt_AG="Ja"),IF($Z$5&lt;M32-SUM(P$31:P31),0,IF($Z$5&gt;N32-SUM(P$31:P32),N32-M32-P32,$Z$5-SUM(Z$31:Z31))),"n.v.t")</f>
        <v>n.v.t</v>
      </c>
      <c r="AA32" s="465" t="str">
        <f>IF(Z32="n.v.t",Z32,Z32/(1-$O32))</f>
        <v>n.v.t</v>
      </c>
      <c r="AF32" s="1951"/>
    </row>
    <row r="33" spans="1:32" ht="14.45" customHeight="1" thickBot="1" x14ac:dyDescent="0.3">
      <c r="A33" s="58">
        <v>60</v>
      </c>
      <c r="B33" s="913" t="s">
        <v>920</v>
      </c>
      <c r="C33" s="31">
        <v>0</v>
      </c>
      <c r="D33" s="1204">
        <f>C33</f>
        <v>0</v>
      </c>
      <c r="E33" s="31">
        <v>0</v>
      </c>
      <c r="F33" s="1204">
        <f>E33</f>
        <v>0</v>
      </c>
      <c r="G33" s="2809" t="s">
        <v>775</v>
      </c>
      <c r="H33" s="2809"/>
      <c r="I33" s="2809"/>
      <c r="J33" s="2810"/>
      <c r="L33" s="27">
        <v>3</v>
      </c>
      <c r="M33" s="679">
        <f>N32</f>
        <v>76817</v>
      </c>
      <c r="N33" s="2110"/>
      <c r="O33" s="681">
        <v>0.495</v>
      </c>
      <c r="P33" s="203">
        <f>IF($N$4&lt;$M33,0,($N$4-$N32-1)*$O33)</f>
        <v>0</v>
      </c>
      <c r="Q33" s="466" t="str">
        <f>IF(AND(C$5&gt;=$N$29,BGAOWLeeftijdBereikt_AP="Ja"),IF(AL94VerzInkomen_AP&lt;$M33,0,(AL94VerzInkomen_AP-$N24)*$O33),"n.v.t")</f>
        <v>n.v.t</v>
      </c>
      <c r="R33" s="466" t="str">
        <f>IF(AND(D$5&gt;=$N$29,BGAOWLeeftijdBereikt_AG="Ja"),IF(AL94VerzInkomen_AG&lt;$M33,0,(AL94VerzInkomen_AG-$N24)*$O33),"n.v.t")</f>
        <v>n.v.t</v>
      </c>
      <c r="S33" s="202" t="str">
        <f>L33&amp;": vanaf "&amp;M33&amp;" tarief: "&amp;(O33*100)&amp;"%"</f>
        <v>3: vanaf 76817 tarief: 49,5%</v>
      </c>
      <c r="T33" s="466" t="str">
        <f t="shared" ref="T33:Y33" si="20">IF(AND($C$5&gt;=$N$29,BGAOWLeeftijdBereikt_AP="Ja"),IF(T$5&lt;$M33,0,(T$5-$N32)*$O33),"n.v.t")</f>
        <v>n.v.t</v>
      </c>
      <c r="U33" s="466" t="str">
        <f t="shared" si="20"/>
        <v>n.v.t</v>
      </c>
      <c r="V33" s="466" t="str">
        <f t="shared" si="20"/>
        <v>n.v.t</v>
      </c>
      <c r="W33" s="466" t="str">
        <f t="shared" si="20"/>
        <v>n.v.t</v>
      </c>
      <c r="X33" s="466" t="str">
        <f t="shared" si="20"/>
        <v>n.v.t</v>
      </c>
      <c r="Y33" s="466" t="str">
        <f t="shared" si="20"/>
        <v>n.v.t</v>
      </c>
      <c r="Z33" s="467" t="str">
        <f>IF(AND(D$5&gt;=$N$29,BGAOWLeeftijdBereikt_AG="Ja"),IF($Z$5&lt;M33-SUM(P$31:P32),0,IF($Z$5&gt;=M33-SUM(P$31:P32),$Z$5-SUM(Z$31:Z32))),"n.v.t")</f>
        <v>n.v.t</v>
      </c>
      <c r="AA33" s="470" t="str">
        <f>IF(Z33="n.v.t",Z33,Z33/(1-$O33))</f>
        <v>n.v.t</v>
      </c>
      <c r="AF33" s="1951"/>
    </row>
    <row r="34" spans="1:32" ht="15" customHeight="1" thickBot="1" x14ac:dyDescent="0.3">
      <c r="A34" s="152"/>
      <c r="B34" s="930" t="s">
        <v>593</v>
      </c>
      <c r="C34" s="914" t="s">
        <v>105</v>
      </c>
      <c r="D34" s="915">
        <f>IF(C$34="Ja",D$29,0)</f>
        <v>0</v>
      </c>
      <c r="E34" s="914" t="s">
        <v>105</v>
      </c>
      <c r="F34" s="915">
        <f>IF(E$34="Ja",F$29,0)</f>
        <v>0</v>
      </c>
      <c r="G34" s="2811"/>
      <c r="H34" s="2811"/>
      <c r="I34" s="2811"/>
      <c r="J34" s="2812"/>
      <c r="O34" s="2715" t="s">
        <v>180</v>
      </c>
      <c r="P34" s="2793"/>
      <c r="Q34" s="386">
        <f>SUM(Q31:Q33)</f>
        <v>0</v>
      </c>
      <c r="R34" s="386">
        <f>SUM(R31:R33)</f>
        <v>0</v>
      </c>
      <c r="T34" s="472">
        <f t="shared" ref="T34:U34" si="21">SUM(T31:T33)</f>
        <v>0</v>
      </c>
      <c r="U34" s="386">
        <f t="shared" si="21"/>
        <v>0</v>
      </c>
      <c r="V34" s="472">
        <f t="shared" ref="V34:W34" si="22">SUM(V31:V33)</f>
        <v>0</v>
      </c>
      <c r="W34" s="386">
        <f t="shared" si="22"/>
        <v>0</v>
      </c>
      <c r="X34" s="472">
        <f>SUM(X31:X33)</f>
        <v>0</v>
      </c>
      <c r="Y34" s="386">
        <f>SUM(Y31:Y33)</f>
        <v>0</v>
      </c>
      <c r="Z34" s="472">
        <f>SUM(Z31:Z33)</f>
        <v>0</v>
      </c>
      <c r="AA34" s="386">
        <f>SUM(AA31:AA33)</f>
        <v>0</v>
      </c>
      <c r="AF34" s="1951"/>
    </row>
    <row r="35" spans="1:32" ht="15.75" customHeight="1" thickBot="1" x14ac:dyDescent="0.3">
      <c r="A35" s="147">
        <v>60</v>
      </c>
      <c r="B35" s="605" t="s">
        <v>921</v>
      </c>
      <c r="C35" s="844">
        <v>0</v>
      </c>
      <c r="D35" s="41">
        <f>C35</f>
        <v>0</v>
      </c>
      <c r="E35" s="844">
        <v>0</v>
      </c>
      <c r="F35" s="41">
        <f>E35</f>
        <v>0</v>
      </c>
      <c r="G35" s="22"/>
      <c r="H35" s="22"/>
      <c r="I35" s="22"/>
      <c r="J35" s="22"/>
      <c r="M35" s="2"/>
      <c r="N35" s="2"/>
      <c r="O35" s="51"/>
      <c r="P35" s="51"/>
      <c r="Q35" s="51"/>
      <c r="R35" s="51"/>
      <c r="S35" s="51"/>
      <c r="AF35" s="1951"/>
    </row>
    <row r="36" spans="1:32" ht="15.75" customHeight="1" thickBot="1" x14ac:dyDescent="0.3">
      <c r="B36" s="916" t="s">
        <v>551</v>
      </c>
      <c r="E36" s="17"/>
      <c r="F36" s="17"/>
      <c r="G36" s="22"/>
      <c r="H36" s="22"/>
      <c r="I36" s="22"/>
      <c r="J36" s="22"/>
      <c r="L36" s="20" t="str">
        <f>"Belasting schijf box 1 AOW leeftijd wordt in "&amp;BGJaarBerekening&amp;" bereikt"</f>
        <v>Belasting schijf box 1 AOW leeftijd wordt in 2025 bereikt</v>
      </c>
      <c r="N36" s="2"/>
      <c r="P36" s="21" t="s">
        <v>107</v>
      </c>
      <c r="R36" s="51"/>
      <c r="S36" s="51"/>
      <c r="T36" s="2690" t="s">
        <v>1048</v>
      </c>
      <c r="U36" s="2690" t="s">
        <v>1048</v>
      </c>
      <c r="V36" s="2690" t="s">
        <v>1048</v>
      </c>
      <c r="W36" s="2690" t="s">
        <v>1048</v>
      </c>
      <c r="X36" s="2690" t="s">
        <v>1048</v>
      </c>
      <c r="Y36" s="2690" t="s">
        <v>1048</v>
      </c>
      <c r="Z36" s="2717" t="s">
        <v>439</v>
      </c>
      <c r="AA36" s="2690" t="s">
        <v>440</v>
      </c>
      <c r="AF36" s="1951"/>
    </row>
    <row r="37" spans="1:32" ht="15.75" thickBot="1" x14ac:dyDescent="0.3">
      <c r="A37" s="144">
        <v>41</v>
      </c>
      <c r="B37" s="92" t="s">
        <v>555</v>
      </c>
      <c r="C37" s="53" t="str">
        <f>BGPartner_AP</f>
        <v>A. Plichtig</v>
      </c>
      <c r="E37" s="18" t="str">
        <f>BGPartner_AG</f>
        <v>A. Gerechtigd</v>
      </c>
      <c r="L37" s="5" t="s">
        <v>167</v>
      </c>
      <c r="M37" s="239" t="s">
        <v>241</v>
      </c>
      <c r="N37" s="6" t="s">
        <v>518</v>
      </c>
      <c r="O37" s="6" t="s">
        <v>77</v>
      </c>
      <c r="P37" s="244" t="s">
        <v>0</v>
      </c>
      <c r="Q37" s="18" t="str">
        <f>BGPartner_AP</f>
        <v>A. Plichtig</v>
      </c>
      <c r="R37" s="18" t="str">
        <f>BGPartner_AG</f>
        <v>A. Gerechtigd</v>
      </c>
      <c r="S37" s="1283" t="s">
        <v>110</v>
      </c>
      <c r="T37" s="2689"/>
      <c r="U37" s="2689"/>
      <c r="V37" s="2689"/>
      <c r="W37" s="2689"/>
      <c r="X37" s="2689"/>
      <c r="Y37" s="2689"/>
      <c r="Z37" s="2718"/>
      <c r="AA37" s="2689"/>
      <c r="AB37" s="39" t="s">
        <v>91</v>
      </c>
      <c r="AF37" s="1951"/>
    </row>
    <row r="38" spans="1:32" ht="15.75" thickBot="1" x14ac:dyDescent="0.3">
      <c r="B38" s="94" t="s">
        <v>90</v>
      </c>
      <c r="C38" s="40" t="s">
        <v>91</v>
      </c>
      <c r="D38" s="19" t="s">
        <v>90</v>
      </c>
      <c r="E38" s="40" t="s">
        <v>91</v>
      </c>
      <c r="F38" s="2" t="s">
        <v>785</v>
      </c>
      <c r="L38" s="56">
        <v>1</v>
      </c>
      <c r="M38" s="669">
        <v>0</v>
      </c>
      <c r="N38" s="669">
        <v>38098</v>
      </c>
      <c r="O38" s="954">
        <v>0.1792</v>
      </c>
      <c r="P38" s="678">
        <f>O38*(N38-1)</f>
        <v>6826.9823999999999</v>
      </c>
      <c r="Q38" s="464" t="str">
        <f t="shared" ref="Q38:Q49" si="23">IF(AND(BGAOWLeeftijdBereikt_AP="Ja",YEAR($C$9)=BGJaarBerekening,MONTH($C$9)=$AB38),IF(AL94VerzInkomen_AP&gt;($N38-1),($N38-1)*$O38,AL94VerzInkomen_AP*$O38),"n.v.t")</f>
        <v>n.v.t</v>
      </c>
      <c r="R38" s="464" t="str">
        <f t="shared" ref="R38:R49" si="24">IF(AND(BGAOWLeeftijdBereikt_AG="Ja",YEAR($D$9)=BGJaarBerekening,MONTH($D$9)=$AB38),IF(AL94VerzInkomen_AG&gt;($N38-1),($N38-1)*$O38,AL94VerzInkomen_AG*$O38),"n.v.t")</f>
        <v>n.v.t</v>
      </c>
      <c r="S38" s="196" t="str">
        <f>L38&amp;": "&amp;M38&amp;" tot "&amp;N38&amp;" tarief: "&amp;(O38*100)&amp;"% - Max. "&amp;ROUND(P38,0)</f>
        <v>1: 0 tot 38098 tarief: 17,92% - Max. 6827</v>
      </c>
      <c r="T38" s="464" t="str">
        <f t="shared" ref="T38:Y49" si="25">IF(AND(BGAOWLeeftijdBereikt_AP="Ja",YEAR($C$9)=BGJaarBerekening,MONTH($C$9)=$AB38),IF(T$5&gt;($N38-1),($N38-1)*$O38,T$5*$O38),"n.v.t")</f>
        <v>n.v.t</v>
      </c>
      <c r="U38" s="464" t="str">
        <f t="shared" si="25"/>
        <v>n.v.t</v>
      </c>
      <c r="V38" s="464" t="str">
        <f t="shared" si="25"/>
        <v>n.v.t</v>
      </c>
      <c r="W38" s="464" t="str">
        <f t="shared" si="25"/>
        <v>n.v.t</v>
      </c>
      <c r="X38" s="464" t="str">
        <f t="shared" si="25"/>
        <v>n.v.t</v>
      </c>
      <c r="Y38" s="464" t="str">
        <f t="shared" si="25"/>
        <v>n.v.t</v>
      </c>
      <c r="Z38" s="1277" t="str">
        <f t="shared" ref="Z38:Z49" si="26">IF(AND(BGAOWLeeftijdBereikt_AG="Ja",YEAR($D$9)=BGJaarBerekening,MONTH($D$9)=$AB38),IF($Z$5&lt;=M38,0,IF($Z$5&gt;($N38-1)-P38,($N38-1)-P38,$Z$5)),"n.v.t")</f>
        <v>n.v.t</v>
      </c>
      <c r="AA38" s="464" t="str">
        <f t="shared" ref="AA38:AA51" si="27">IF(Z38="n.v.t",Z38,Z38/(1-$O38))</f>
        <v>n.v.t</v>
      </c>
      <c r="AB38" s="24">
        <v>1</v>
      </c>
      <c r="AF38" s="1951"/>
    </row>
    <row r="39" spans="1:32" ht="15.75" thickBot="1" x14ac:dyDescent="0.3">
      <c r="A39" s="8" t="s">
        <v>223</v>
      </c>
      <c r="B39" s="95" t="s">
        <v>70</v>
      </c>
      <c r="C39" s="18" t="str">
        <f>IF(C38="Maand","Maandloon",IF(C38="4 Weken","4-Wekenloon",IF(C38="Week","Weekloon",IF(C38="Anders","Anders",""))))</f>
        <v>Maandloon</v>
      </c>
      <c r="D39" s="18" t="s">
        <v>618</v>
      </c>
      <c r="E39" s="18" t="str">
        <f>IF(E38="Maand","Maandloon",IF(E38="4 Weken","4-Wekenloon",IF(E38="Week","Weekloon",IF(E38="Anders","Anders",""))))</f>
        <v>Maandloon</v>
      </c>
      <c r="F39" s="18" t="s">
        <v>618</v>
      </c>
      <c r="G39" s="2815" t="s">
        <v>191</v>
      </c>
      <c r="H39" s="2816"/>
      <c r="I39" s="2816"/>
      <c r="J39" s="2817"/>
      <c r="L39" s="25">
        <v>1</v>
      </c>
      <c r="M39" s="649">
        <v>0</v>
      </c>
      <c r="N39" s="661">
        <f t="shared" ref="N39:N49" si="28">N38</f>
        <v>38098</v>
      </c>
      <c r="O39" s="701">
        <v>0.19409999999999999</v>
      </c>
      <c r="P39" s="1282">
        <f t="shared" ref="P39:P49" si="29">O39*(N39-1)</f>
        <v>7394.6277</v>
      </c>
      <c r="Q39" s="465" t="str">
        <f t="shared" si="23"/>
        <v>n.v.t</v>
      </c>
      <c r="R39" s="465" t="str">
        <f t="shared" si="24"/>
        <v>n.v.t</v>
      </c>
      <c r="S39" s="198" t="str">
        <f t="shared" ref="S39:S49" si="30">L39&amp;": "&amp;M39&amp;" tot "&amp;N39&amp;" tarief: "&amp;(O39*100)&amp;"% - Max. "&amp;ROUND(P39,0)</f>
        <v>1: 0 tot 38098 tarief: 19,41% - Max. 7395</v>
      </c>
      <c r="T39" s="465" t="str">
        <f t="shared" si="25"/>
        <v>n.v.t</v>
      </c>
      <c r="U39" s="465" t="str">
        <f t="shared" si="25"/>
        <v>n.v.t</v>
      </c>
      <c r="V39" s="465" t="str">
        <f t="shared" si="25"/>
        <v>n.v.t</v>
      </c>
      <c r="W39" s="465" t="str">
        <f t="shared" si="25"/>
        <v>n.v.t</v>
      </c>
      <c r="X39" s="465" t="str">
        <f t="shared" si="25"/>
        <v>n.v.t</v>
      </c>
      <c r="Y39" s="465" t="str">
        <f t="shared" si="25"/>
        <v>n.v.t</v>
      </c>
      <c r="Z39" s="469" t="str">
        <f t="shared" si="26"/>
        <v>n.v.t</v>
      </c>
      <c r="AA39" s="468" t="str">
        <f t="shared" si="27"/>
        <v>n.v.t</v>
      </c>
      <c r="AB39" s="58">
        <v>2</v>
      </c>
      <c r="AF39" s="1951"/>
    </row>
    <row r="40" spans="1:32" x14ac:dyDescent="0.25">
      <c r="A40" s="59"/>
      <c r="B40" s="145" t="s">
        <v>71</v>
      </c>
      <c r="C40" s="208">
        <v>0</v>
      </c>
      <c r="D40" s="299">
        <f>IF(BG060Jaaropgave1_AP&lt;&gt;0,"zie jaarloon (60)",IF(C$38="Maand",C40*12,IF(C$38="4 Weken",C40*13,IF(C$38="Week",C40*52,0))))</f>
        <v>0</v>
      </c>
      <c r="E40" s="208">
        <v>0</v>
      </c>
      <c r="F40" s="1016">
        <f>IF(BG060Jaaropgave1_AG&lt;&gt;0,"zie jaarloon (60)",IF(E$38="Maand",E40*12,IF(E$38="4 Weken",E40*13,IF(E$38="Week",E40*52,0))))</f>
        <v>0</v>
      </c>
      <c r="G40" s="2734" t="s">
        <v>381</v>
      </c>
      <c r="H40" s="2735"/>
      <c r="I40" s="2735"/>
      <c r="J40" s="2736"/>
      <c r="L40" s="25">
        <v>1</v>
      </c>
      <c r="M40" s="649">
        <v>0</v>
      </c>
      <c r="N40" s="661">
        <f>N39</f>
        <v>38098</v>
      </c>
      <c r="O40" s="701">
        <v>0.20899999999999999</v>
      </c>
      <c r="P40" s="1282">
        <f t="shared" si="29"/>
        <v>7962.2729999999992</v>
      </c>
      <c r="Q40" s="465" t="str">
        <f t="shared" si="23"/>
        <v>n.v.t</v>
      </c>
      <c r="R40" s="465" t="str">
        <f t="shared" si="24"/>
        <v>n.v.t</v>
      </c>
      <c r="S40" s="198" t="str">
        <f t="shared" si="30"/>
        <v>1: 0 tot 38098 tarief: 20,9% - Max. 7962</v>
      </c>
      <c r="T40" s="465" t="str">
        <f t="shared" si="25"/>
        <v>n.v.t</v>
      </c>
      <c r="U40" s="465" t="str">
        <f t="shared" si="25"/>
        <v>n.v.t</v>
      </c>
      <c r="V40" s="465" t="str">
        <f t="shared" si="25"/>
        <v>n.v.t</v>
      </c>
      <c r="W40" s="465" t="str">
        <f t="shared" si="25"/>
        <v>n.v.t</v>
      </c>
      <c r="X40" s="465" t="str">
        <f t="shared" si="25"/>
        <v>n.v.t</v>
      </c>
      <c r="Y40" s="465" t="str">
        <f t="shared" si="25"/>
        <v>n.v.t</v>
      </c>
      <c r="Z40" s="469" t="str">
        <f t="shared" si="26"/>
        <v>n.v.t</v>
      </c>
      <c r="AA40" s="468" t="str">
        <f t="shared" si="27"/>
        <v>n.v.t</v>
      </c>
      <c r="AB40" s="58">
        <v>3</v>
      </c>
      <c r="AF40" s="1951"/>
    </row>
    <row r="41" spans="1:32" x14ac:dyDescent="0.25">
      <c r="A41" s="58"/>
      <c r="B41" s="133" t="s">
        <v>72</v>
      </c>
      <c r="C41" s="32">
        <v>0</v>
      </c>
      <c r="D41" s="296">
        <f>IF(BG060Jaaropgave1_AP&lt;&gt;0,"zie jaarloon (60)",IF(C$38="Maand",C41*12,IF(C$38="4 Weken",C41*13,IF(C$38="Week",C41*52,0))))</f>
        <v>0</v>
      </c>
      <c r="E41" s="32">
        <v>0</v>
      </c>
      <c r="F41" s="1017">
        <f>IF(BG060Jaaropgave1_AG&lt;&gt;0,"zie jaarloon (60)",IF(E$38="Maand",E41*12,IF(E$38="4 Weken",E41*13,IF(E$38="Week",E41*52,0))))</f>
        <v>0</v>
      </c>
      <c r="G41" s="2737" t="s">
        <v>381</v>
      </c>
      <c r="H41" s="2738"/>
      <c r="I41" s="2738"/>
      <c r="J41" s="2739"/>
      <c r="L41" s="25">
        <v>1</v>
      </c>
      <c r="M41" s="649">
        <v>0</v>
      </c>
      <c r="N41" s="661">
        <f t="shared" si="28"/>
        <v>38098</v>
      </c>
      <c r="O41" s="701">
        <v>0.22389999999999999</v>
      </c>
      <c r="P41" s="1282">
        <f t="shared" si="29"/>
        <v>8529.9182999999994</v>
      </c>
      <c r="Q41" s="465" t="str">
        <f t="shared" si="23"/>
        <v>n.v.t</v>
      </c>
      <c r="R41" s="465" t="str">
        <f t="shared" si="24"/>
        <v>n.v.t</v>
      </c>
      <c r="S41" s="198" t="str">
        <f t="shared" si="30"/>
        <v>1: 0 tot 38098 tarief: 22,39% - Max. 8530</v>
      </c>
      <c r="T41" s="465" t="str">
        <f t="shared" si="25"/>
        <v>n.v.t</v>
      </c>
      <c r="U41" s="465" t="str">
        <f t="shared" si="25"/>
        <v>n.v.t</v>
      </c>
      <c r="V41" s="465" t="str">
        <f t="shared" si="25"/>
        <v>n.v.t</v>
      </c>
      <c r="W41" s="465" t="str">
        <f t="shared" si="25"/>
        <v>n.v.t</v>
      </c>
      <c r="X41" s="465" t="str">
        <f t="shared" si="25"/>
        <v>n.v.t</v>
      </c>
      <c r="Y41" s="465" t="str">
        <f t="shared" si="25"/>
        <v>n.v.t</v>
      </c>
      <c r="Z41" s="469" t="str">
        <f t="shared" si="26"/>
        <v>n.v.t</v>
      </c>
      <c r="AA41" s="468" t="str">
        <f t="shared" si="27"/>
        <v>n.v.t</v>
      </c>
      <c r="AB41" s="58">
        <v>4</v>
      </c>
      <c r="AF41" s="1951"/>
    </row>
    <row r="42" spans="1:32" ht="15.75" thickBot="1" x14ac:dyDescent="0.3">
      <c r="A42" s="152"/>
      <c r="B42" s="146" t="s">
        <v>516</v>
      </c>
      <c r="C42" s="209">
        <v>0</v>
      </c>
      <c r="D42" s="297">
        <f>IF(BG060Jaaropgave1_AP&lt;&gt;0,"zie jaarloon (60)",IF(C$38="Maand",C42*12,IF(C$38="4 Weken",C42*13,IF(C$38="Week",C42*52,0))))</f>
        <v>0</v>
      </c>
      <c r="E42" s="209">
        <v>0</v>
      </c>
      <c r="F42" s="1018">
        <f>IF(BG060Jaaropgave1_AG&lt;&gt;0,"zie jaarloon (60)",IF(E$38="Maand",E42*12,IF(E$38="4 Weken",E42*13,IF(E$38="Week",E42*52,0))))</f>
        <v>0</v>
      </c>
      <c r="G42" s="2737" t="s">
        <v>380</v>
      </c>
      <c r="H42" s="2738"/>
      <c r="I42" s="2738"/>
      <c r="J42" s="2739"/>
      <c r="L42" s="25">
        <v>1</v>
      </c>
      <c r="M42" s="649">
        <v>0</v>
      </c>
      <c r="N42" s="661">
        <f t="shared" si="28"/>
        <v>38098</v>
      </c>
      <c r="O42" s="701">
        <v>0.23880000000000001</v>
      </c>
      <c r="P42" s="1282">
        <f t="shared" si="29"/>
        <v>9097.5636000000013</v>
      </c>
      <c r="Q42" s="465" t="str">
        <f t="shared" si="23"/>
        <v>n.v.t</v>
      </c>
      <c r="R42" s="465" t="str">
        <f t="shared" si="24"/>
        <v>n.v.t</v>
      </c>
      <c r="S42" s="198" t="str">
        <f t="shared" si="30"/>
        <v>1: 0 tot 38098 tarief: 23,88% - Max. 9098</v>
      </c>
      <c r="T42" s="465" t="str">
        <f t="shared" si="25"/>
        <v>n.v.t</v>
      </c>
      <c r="U42" s="465" t="str">
        <f t="shared" si="25"/>
        <v>n.v.t</v>
      </c>
      <c r="V42" s="465" t="str">
        <f t="shared" si="25"/>
        <v>n.v.t</v>
      </c>
      <c r="W42" s="465" t="str">
        <f t="shared" si="25"/>
        <v>n.v.t</v>
      </c>
      <c r="X42" s="465" t="str">
        <f t="shared" si="25"/>
        <v>n.v.t</v>
      </c>
      <c r="Y42" s="465" t="str">
        <f t="shared" si="25"/>
        <v>n.v.t</v>
      </c>
      <c r="Z42" s="469" t="str">
        <f t="shared" si="26"/>
        <v>n.v.t</v>
      </c>
      <c r="AA42" s="468" t="str">
        <f t="shared" si="27"/>
        <v>n.v.t</v>
      </c>
      <c r="AB42" s="58">
        <v>5</v>
      </c>
      <c r="AF42" s="1951"/>
    </row>
    <row r="43" spans="1:32" ht="15.75" thickBot="1" x14ac:dyDescent="0.3">
      <c r="A43" s="147">
        <v>41</v>
      </c>
      <c r="B43" s="98" t="s">
        <v>300</v>
      </c>
      <c r="C43" s="49">
        <f>SUM(C40:C42)</f>
        <v>0</v>
      </c>
      <c r="D43" s="49">
        <f>SUM(D40:D42)</f>
        <v>0</v>
      </c>
      <c r="E43" s="49">
        <f>SUM(E40:E42)</f>
        <v>0</v>
      </c>
      <c r="F43" s="604">
        <f>SUM(F40:F42)</f>
        <v>0</v>
      </c>
      <c r="G43" s="2737"/>
      <c r="H43" s="2738"/>
      <c r="I43" s="2738"/>
      <c r="J43" s="2739"/>
      <c r="L43" s="25">
        <v>1</v>
      </c>
      <c r="M43" s="649">
        <v>0</v>
      </c>
      <c r="N43" s="661">
        <f t="shared" si="28"/>
        <v>38098</v>
      </c>
      <c r="O43" s="701">
        <v>0.25369999999999998</v>
      </c>
      <c r="P43" s="1282">
        <f t="shared" si="29"/>
        <v>9665.2088999999996</v>
      </c>
      <c r="Q43" s="465" t="str">
        <f t="shared" si="23"/>
        <v>n.v.t</v>
      </c>
      <c r="R43" s="465" t="str">
        <f t="shared" si="24"/>
        <v>n.v.t</v>
      </c>
      <c r="S43" s="198" t="str">
        <f t="shared" si="30"/>
        <v>1: 0 tot 38098 tarief: 25,37% - Max. 9665</v>
      </c>
      <c r="T43" s="465" t="str">
        <f t="shared" si="25"/>
        <v>n.v.t</v>
      </c>
      <c r="U43" s="465" t="str">
        <f t="shared" si="25"/>
        <v>n.v.t</v>
      </c>
      <c r="V43" s="465" t="str">
        <f t="shared" si="25"/>
        <v>n.v.t</v>
      </c>
      <c r="W43" s="465" t="str">
        <f t="shared" si="25"/>
        <v>n.v.t</v>
      </c>
      <c r="X43" s="465" t="str">
        <f t="shared" si="25"/>
        <v>n.v.t</v>
      </c>
      <c r="Y43" s="465" t="str">
        <f t="shared" si="25"/>
        <v>n.v.t</v>
      </c>
      <c r="Z43" s="469" t="str">
        <f t="shared" si="26"/>
        <v>n.v.t</v>
      </c>
      <c r="AA43" s="468" t="str">
        <f t="shared" si="27"/>
        <v>n.v.t</v>
      </c>
      <c r="AB43" s="58">
        <v>6</v>
      </c>
      <c r="AF43" s="1951"/>
    </row>
    <row r="44" spans="1:32" x14ac:dyDescent="0.25">
      <c r="A44" s="255">
        <v>46</v>
      </c>
      <c r="B44" s="318" t="s">
        <v>318</v>
      </c>
      <c r="C44" s="208">
        <v>0</v>
      </c>
      <c r="D44" s="299">
        <f>IF(BG060Jaaropgave1_AP&lt;&gt;0,"zie jaarloon (60)",IF(C$38="Maand",C44*12,IF(C$38="4 Weken",C44*13,IF(C$38="Week",C44*52,0))))</f>
        <v>0</v>
      </c>
      <c r="E44" s="208">
        <v>0</v>
      </c>
      <c r="F44" s="1016">
        <f>IF(BG060Jaaropgave1_AG&lt;&gt;0,"zie jaarloon (60)",IF(E$38="Maand",E44*12,IF(E$38="4 Weken",E44*13,IF(E$38="Week",E44*52,0))))</f>
        <v>0</v>
      </c>
      <c r="G44" s="2737" t="s">
        <v>379</v>
      </c>
      <c r="H44" s="2738"/>
      <c r="I44" s="2738"/>
      <c r="J44" s="2739"/>
      <c r="L44" s="25">
        <v>1</v>
      </c>
      <c r="M44" s="649">
        <v>0</v>
      </c>
      <c r="N44" s="661">
        <f t="shared" si="28"/>
        <v>38098</v>
      </c>
      <c r="O44" s="701">
        <v>0.26869999999999999</v>
      </c>
      <c r="P44" s="1282">
        <f t="shared" si="29"/>
        <v>10236.6639</v>
      </c>
      <c r="Q44" s="465" t="str">
        <f t="shared" si="23"/>
        <v>n.v.t</v>
      </c>
      <c r="R44" s="465" t="str">
        <f t="shared" si="24"/>
        <v>n.v.t</v>
      </c>
      <c r="S44" s="198" t="str">
        <f t="shared" si="30"/>
        <v>1: 0 tot 38098 tarief: 26,87% - Max. 10237</v>
      </c>
      <c r="T44" s="465" t="str">
        <f t="shared" si="25"/>
        <v>n.v.t</v>
      </c>
      <c r="U44" s="465" t="str">
        <f t="shared" si="25"/>
        <v>n.v.t</v>
      </c>
      <c r="V44" s="465" t="str">
        <f t="shared" si="25"/>
        <v>n.v.t</v>
      </c>
      <c r="W44" s="465" t="str">
        <f t="shared" si="25"/>
        <v>n.v.t</v>
      </c>
      <c r="X44" s="465" t="str">
        <f t="shared" si="25"/>
        <v>n.v.t</v>
      </c>
      <c r="Y44" s="465" t="str">
        <f t="shared" si="25"/>
        <v>n.v.t</v>
      </c>
      <c r="Z44" s="469" t="str">
        <f t="shared" si="26"/>
        <v>n.v.t</v>
      </c>
      <c r="AA44" s="468" t="str">
        <f t="shared" si="27"/>
        <v>n.v.t</v>
      </c>
      <c r="AB44" s="58">
        <v>7</v>
      </c>
      <c r="AF44" s="1951"/>
    </row>
    <row r="45" spans="1:32" x14ac:dyDescent="0.25">
      <c r="A45" s="255">
        <v>44</v>
      </c>
      <c r="B45" s="314" t="s">
        <v>301</v>
      </c>
      <c r="C45" s="315">
        <v>0.08</v>
      </c>
      <c r="D45" s="296">
        <f>IF(BG060Jaaropgave1_AP&lt;&gt;0,"zie jaarloon (60)",C45*(D40+D41+D44))</f>
        <v>0</v>
      </c>
      <c r="E45" s="315">
        <v>0.08</v>
      </c>
      <c r="F45" s="1017">
        <f>IF(BG060Jaaropgave1_AG&lt;&gt;0,"zie jaarloon (60)",E45*(F40+F41+F44))</f>
        <v>0</v>
      </c>
      <c r="G45" s="2737" t="s">
        <v>615</v>
      </c>
      <c r="H45" s="2738"/>
      <c r="I45" s="2738"/>
      <c r="J45" s="2739"/>
      <c r="L45" s="25">
        <v>1</v>
      </c>
      <c r="M45" s="649">
        <v>0</v>
      </c>
      <c r="N45" s="661">
        <f>N44</f>
        <v>38098</v>
      </c>
      <c r="O45" s="701">
        <v>0.28360000000000002</v>
      </c>
      <c r="P45" s="1282">
        <f t="shared" si="29"/>
        <v>10804.309200000002</v>
      </c>
      <c r="Q45" s="465" t="str">
        <f t="shared" si="23"/>
        <v>n.v.t</v>
      </c>
      <c r="R45" s="465" t="str">
        <f t="shared" si="24"/>
        <v>n.v.t</v>
      </c>
      <c r="S45" s="198" t="str">
        <f t="shared" si="30"/>
        <v>1: 0 tot 38098 tarief: 28,36% - Max. 10804</v>
      </c>
      <c r="T45" s="465" t="str">
        <f t="shared" si="25"/>
        <v>n.v.t</v>
      </c>
      <c r="U45" s="465" t="str">
        <f t="shared" si="25"/>
        <v>n.v.t</v>
      </c>
      <c r="V45" s="465" t="str">
        <f t="shared" si="25"/>
        <v>n.v.t</v>
      </c>
      <c r="W45" s="465" t="str">
        <f t="shared" si="25"/>
        <v>n.v.t</v>
      </c>
      <c r="X45" s="465" t="str">
        <f t="shared" si="25"/>
        <v>n.v.t</v>
      </c>
      <c r="Y45" s="465" t="str">
        <f t="shared" si="25"/>
        <v>n.v.t</v>
      </c>
      <c r="Z45" s="469" t="str">
        <f t="shared" si="26"/>
        <v>n.v.t</v>
      </c>
      <c r="AA45" s="468" t="str">
        <f t="shared" si="27"/>
        <v>n.v.t</v>
      </c>
      <c r="AB45" s="58">
        <v>8</v>
      </c>
      <c r="AF45" s="1951"/>
    </row>
    <row r="46" spans="1:32" x14ac:dyDescent="0.25">
      <c r="A46" s="255"/>
      <c r="B46" s="314" t="s">
        <v>515</v>
      </c>
      <c r="C46" s="85" t="s">
        <v>106</v>
      </c>
      <c r="D46" s="607">
        <v>0</v>
      </c>
      <c r="E46" s="85" t="s">
        <v>106</v>
      </c>
      <c r="F46" s="1019">
        <v>0</v>
      </c>
      <c r="G46" s="2737"/>
      <c r="H46" s="2738"/>
      <c r="I46" s="2738"/>
      <c r="J46" s="2739"/>
      <c r="L46" s="25">
        <v>1</v>
      </c>
      <c r="M46" s="649">
        <v>0</v>
      </c>
      <c r="N46" s="661">
        <f t="shared" si="28"/>
        <v>38098</v>
      </c>
      <c r="O46" s="701">
        <v>0.29849999999999999</v>
      </c>
      <c r="P46" s="1282">
        <f t="shared" si="29"/>
        <v>11371.9545</v>
      </c>
      <c r="Q46" s="465" t="str">
        <f t="shared" si="23"/>
        <v>n.v.t</v>
      </c>
      <c r="R46" s="465" t="str">
        <f t="shared" si="24"/>
        <v>n.v.t</v>
      </c>
      <c r="S46" s="198" t="str">
        <f t="shared" si="30"/>
        <v>1: 0 tot 38098 tarief: 29,85% - Max. 11372</v>
      </c>
      <c r="T46" s="465" t="str">
        <f t="shared" si="25"/>
        <v>n.v.t</v>
      </c>
      <c r="U46" s="465" t="str">
        <f t="shared" si="25"/>
        <v>n.v.t</v>
      </c>
      <c r="V46" s="465" t="str">
        <f t="shared" si="25"/>
        <v>n.v.t</v>
      </c>
      <c r="W46" s="465" t="str">
        <f t="shared" si="25"/>
        <v>n.v.t</v>
      </c>
      <c r="X46" s="465" t="str">
        <f t="shared" si="25"/>
        <v>n.v.t</v>
      </c>
      <c r="Y46" s="465" t="str">
        <f t="shared" si="25"/>
        <v>n.v.t</v>
      </c>
      <c r="Z46" s="469" t="str">
        <f t="shared" si="26"/>
        <v>n.v.t</v>
      </c>
      <c r="AA46" s="468" t="str">
        <f t="shared" si="27"/>
        <v>n.v.t</v>
      </c>
      <c r="AB46" s="58">
        <v>9</v>
      </c>
      <c r="AF46" s="1951"/>
    </row>
    <row r="47" spans="1:32" x14ac:dyDescent="0.25">
      <c r="A47" s="254">
        <v>47</v>
      </c>
      <c r="B47" s="314" t="s">
        <v>553</v>
      </c>
      <c r="C47" s="32">
        <v>0</v>
      </c>
      <c r="D47" s="296">
        <f>IF(BG060Jaaropgave1_AP&lt;&gt;0,"zie jaarloon (60)",IF(C$38="Anders",0,C47))</f>
        <v>0</v>
      </c>
      <c r="E47" s="32">
        <v>0</v>
      </c>
      <c r="F47" s="1017">
        <f>IF(BG060Jaaropgave1_AG&lt;&gt;0,"zie jaarloon (60)",IF(E$38="Anders",0,E47))</f>
        <v>0</v>
      </c>
      <c r="G47" s="2737"/>
      <c r="H47" s="2738"/>
      <c r="I47" s="2738"/>
      <c r="J47" s="2739"/>
      <c r="L47" s="25">
        <v>1</v>
      </c>
      <c r="M47" s="649">
        <v>0</v>
      </c>
      <c r="N47" s="661">
        <f t="shared" si="28"/>
        <v>38098</v>
      </c>
      <c r="O47" s="701">
        <v>0.31340000000000001</v>
      </c>
      <c r="P47" s="1282">
        <f t="shared" si="29"/>
        <v>11939.5998</v>
      </c>
      <c r="Q47" s="465" t="str">
        <f t="shared" si="23"/>
        <v>n.v.t</v>
      </c>
      <c r="R47" s="465" t="str">
        <f t="shared" si="24"/>
        <v>n.v.t</v>
      </c>
      <c r="S47" s="198" t="str">
        <f t="shared" si="30"/>
        <v>1: 0 tot 38098 tarief: 31,34% - Max. 11940</v>
      </c>
      <c r="T47" s="465" t="str">
        <f t="shared" si="25"/>
        <v>n.v.t</v>
      </c>
      <c r="U47" s="465" t="str">
        <f t="shared" si="25"/>
        <v>n.v.t</v>
      </c>
      <c r="V47" s="465" t="str">
        <f t="shared" si="25"/>
        <v>n.v.t</v>
      </c>
      <c r="W47" s="465" t="str">
        <f t="shared" si="25"/>
        <v>n.v.t</v>
      </c>
      <c r="X47" s="465" t="str">
        <f t="shared" si="25"/>
        <v>n.v.t</v>
      </c>
      <c r="Y47" s="465" t="str">
        <f t="shared" si="25"/>
        <v>n.v.t</v>
      </c>
      <c r="Z47" s="469" t="str">
        <f t="shared" si="26"/>
        <v>n.v.t</v>
      </c>
      <c r="AA47" s="468" t="str">
        <f t="shared" si="27"/>
        <v>n.v.t</v>
      </c>
      <c r="AB47" s="58">
        <v>10</v>
      </c>
      <c r="AF47" s="1951"/>
    </row>
    <row r="48" spans="1:32" x14ac:dyDescent="0.25">
      <c r="A48" s="301">
        <v>48</v>
      </c>
      <c r="B48" s="316" t="s">
        <v>302</v>
      </c>
      <c r="C48" s="1312">
        <v>0</v>
      </c>
      <c r="D48" s="297">
        <f>IF(BG060Jaaropgave1_AP&lt;&gt;0,"zie jaarloon (60)",IF(C46="Ja",(D40+D45)*C48,D40*C48))</f>
        <v>0</v>
      </c>
      <c r="E48" s="1312">
        <v>0</v>
      </c>
      <c r="F48" s="1018">
        <f>IF(BG060Jaaropgave1_AG&lt;&gt;0,"zie jaarloon (60)",IF(E46="Ja",(F40+F45)*E48,F40*E48))</f>
        <v>0</v>
      </c>
      <c r="G48" s="2737" t="s">
        <v>615</v>
      </c>
      <c r="H48" s="2738"/>
      <c r="I48" s="2738"/>
      <c r="J48" s="2739"/>
      <c r="L48" s="25">
        <v>1</v>
      </c>
      <c r="M48" s="649">
        <v>0</v>
      </c>
      <c r="N48" s="661">
        <f t="shared" si="28"/>
        <v>38098</v>
      </c>
      <c r="O48" s="701">
        <v>0.32829999999999998</v>
      </c>
      <c r="P48" s="1282">
        <f t="shared" si="29"/>
        <v>12507.2451</v>
      </c>
      <c r="Q48" s="465" t="str">
        <f t="shared" si="23"/>
        <v>n.v.t</v>
      </c>
      <c r="R48" s="465" t="str">
        <f t="shared" si="24"/>
        <v>n.v.t</v>
      </c>
      <c r="S48" s="198" t="str">
        <f t="shared" si="30"/>
        <v>1: 0 tot 38098 tarief: 32,83% - Max. 12507</v>
      </c>
      <c r="T48" s="465" t="str">
        <f t="shared" si="25"/>
        <v>n.v.t</v>
      </c>
      <c r="U48" s="465" t="str">
        <f t="shared" si="25"/>
        <v>n.v.t</v>
      </c>
      <c r="V48" s="465" t="str">
        <f t="shared" si="25"/>
        <v>n.v.t</v>
      </c>
      <c r="W48" s="465" t="str">
        <f t="shared" si="25"/>
        <v>n.v.t</v>
      </c>
      <c r="X48" s="465" t="str">
        <f t="shared" si="25"/>
        <v>n.v.t</v>
      </c>
      <c r="Y48" s="465" t="str">
        <f t="shared" si="25"/>
        <v>n.v.t</v>
      </c>
      <c r="Z48" s="469" t="str">
        <f t="shared" si="26"/>
        <v>n.v.t</v>
      </c>
      <c r="AA48" s="468" t="str">
        <f t="shared" si="27"/>
        <v>n.v.t</v>
      </c>
      <c r="AB48" s="58">
        <v>11</v>
      </c>
      <c r="AF48" s="1951"/>
    </row>
    <row r="49" spans="1:32" ht="15.75" thickBot="1" x14ac:dyDescent="0.3">
      <c r="A49" s="301" t="s">
        <v>621</v>
      </c>
      <c r="B49" s="316" t="str">
        <f>"Individueel keuze budget (IKB/PKB), vul % per "&amp;LOWER(C38)&amp;" in"</f>
        <v>Individueel keuze budget (IKB/PKB), vul % per maand in</v>
      </c>
      <c r="C49" s="317">
        <v>0</v>
      </c>
      <c r="D49" s="297">
        <f>IF(BG060Jaaropgave1_AP&lt;&gt;0,"zie jaarloon (60)",IF(C$38="Maand",D40*C49*12,IF(C$38="4 Weken",D40*C49*13,IF(C$38="Week",D40*C49*52,0))))</f>
        <v>0</v>
      </c>
      <c r="E49" s="317">
        <v>0</v>
      </c>
      <c r="F49" s="297">
        <f>IF(BG060Jaaropgave1_AG&lt;&gt;0,"zie jaarloon (60)",IF(E$38="Maand",F40*E49*12,IF(E$38="4 Weken",F40*E49*13,IF(E$38="Week",F40*E49*52,0))))</f>
        <v>0</v>
      </c>
      <c r="G49" s="2737" t="s">
        <v>614</v>
      </c>
      <c r="H49" s="2738"/>
      <c r="I49" s="2738"/>
      <c r="J49" s="2739"/>
      <c r="L49" s="27">
        <v>1</v>
      </c>
      <c r="M49" s="680">
        <v>0</v>
      </c>
      <c r="N49" s="679">
        <f t="shared" si="28"/>
        <v>38098</v>
      </c>
      <c r="O49" s="681">
        <v>0.34320000000000001</v>
      </c>
      <c r="P49" s="682">
        <f t="shared" si="29"/>
        <v>13074.8904</v>
      </c>
      <c r="Q49" s="466" t="str">
        <f t="shared" si="23"/>
        <v>n.v.t</v>
      </c>
      <c r="R49" s="466" t="str">
        <f t="shared" si="24"/>
        <v>n.v.t</v>
      </c>
      <c r="S49" s="199" t="str">
        <f t="shared" si="30"/>
        <v>1: 0 tot 38098 tarief: 34,32% - Max. 13075</v>
      </c>
      <c r="T49" s="466" t="str">
        <f t="shared" si="25"/>
        <v>n.v.t</v>
      </c>
      <c r="U49" s="466" t="str">
        <f t="shared" si="25"/>
        <v>n.v.t</v>
      </c>
      <c r="V49" s="466" t="str">
        <f t="shared" si="25"/>
        <v>n.v.t</v>
      </c>
      <c r="W49" s="466" t="str">
        <f t="shared" si="25"/>
        <v>n.v.t</v>
      </c>
      <c r="X49" s="466" t="str">
        <f t="shared" si="25"/>
        <v>n.v.t</v>
      </c>
      <c r="Y49" s="466" t="str">
        <f t="shared" si="25"/>
        <v>n.v.t</v>
      </c>
      <c r="Z49" s="1278" t="str">
        <f t="shared" si="26"/>
        <v>n.v.t</v>
      </c>
      <c r="AA49" s="1280" t="str">
        <f t="shared" si="27"/>
        <v>n.v.t</v>
      </c>
      <c r="AB49" s="26">
        <v>12</v>
      </c>
      <c r="AF49" s="1951"/>
    </row>
    <row r="50" spans="1:32" ht="15" customHeight="1" thickBot="1" x14ac:dyDescent="0.3">
      <c r="A50" s="301" t="s">
        <v>621</v>
      </c>
      <c r="B50" s="316" t="s">
        <v>616</v>
      </c>
      <c r="C50" s="209">
        <v>0</v>
      </c>
      <c r="D50" s="296">
        <f>IF(BG060Jaaropgave1_AP&lt;&gt;0,"zie jaarloon (60)",IF(C49=0,0,IF(C50&lt;=D49,C50*-1,D49*-1)))</f>
        <v>0</v>
      </c>
      <c r="E50" s="209">
        <v>0</v>
      </c>
      <c r="F50" s="296">
        <f>IF(BG060Jaaropgave1_AG&lt;&gt;0,"zie jaarloon (60)",IF(E49=0,0,IF(E50&lt;=F49,E50*-1,F49*-1)))</f>
        <v>0</v>
      </c>
      <c r="G50" s="2782" t="s">
        <v>617</v>
      </c>
      <c r="H50" s="2783"/>
      <c r="I50" s="2783"/>
      <c r="J50" s="2784"/>
      <c r="L50" s="61">
        <v>2</v>
      </c>
      <c r="M50" s="683">
        <f>N38</f>
        <v>38098</v>
      </c>
      <c r="N50" s="684">
        <v>76817</v>
      </c>
      <c r="O50" s="699">
        <v>0.37480000000000002</v>
      </c>
      <c r="P50" s="685">
        <f>O50*(N50-N38-1)</f>
        <v>14511.5064</v>
      </c>
      <c r="Q50" s="468" t="str">
        <f>IF(AND(BGAOWLeeftijdBereikt_AP="Ja",YEAR($C$9)=BGJaarBerekening),IF(AL94VerzInkomen_AP&lt;$M50,0,IF(AL94VerzInkomen_AP&gt;$N50,($N50-$N38)*$O50,(AL94VerzInkomen_AP-$N38)*$O50)),"n.v.t")</f>
        <v>n.v.t</v>
      </c>
      <c r="R50" s="468" t="str">
        <f>IF(AND(BGAOWLeeftijdBereikt_AG="Ja",YEAR($D$9)=BGJaarBerekening),IF(AL94VerzInkomen_AG&lt;$M50,0,IF(AL94VerzInkomen_AG&gt;$N50,($N50-$N38)*$O50,(AL94VerzInkomen_AG-$N38)*$O50)),"n.v.t")</f>
        <v>n.v.t</v>
      </c>
      <c r="S50" s="204" t="str">
        <f>L50&amp;": "&amp;M50&amp;" t/m "&amp;N50&amp;" tarief: "&amp;(O50*100)&amp;"% - Max. "&amp;ROUND(P50,0)</f>
        <v>2: 38098 t/m 76817 tarief: 37,48% - Max. 14512</v>
      </c>
      <c r="T50" s="468" t="str">
        <f t="shared" ref="T50:Y50" si="31">IF(AND(BGAOWLeeftijdBereikt_AP="Ja",YEAR($C$9)=BGJaarBerekening),IF(T$5&lt;$M50,0,IF(T$5&gt;$N50,($N50-$N38)*$O50,(T$5-$N38)*$O50)),"n.v.t")</f>
        <v>n.v.t</v>
      </c>
      <c r="U50" s="468" t="str">
        <f t="shared" si="31"/>
        <v>n.v.t</v>
      </c>
      <c r="V50" s="468" t="str">
        <f t="shared" si="31"/>
        <v>n.v.t</v>
      </c>
      <c r="W50" s="468" t="str">
        <f t="shared" si="31"/>
        <v>n.v.t</v>
      </c>
      <c r="X50" s="468" t="str">
        <f t="shared" si="31"/>
        <v>n.v.t</v>
      </c>
      <c r="Y50" s="468" t="str">
        <f t="shared" si="31"/>
        <v>n.v.t</v>
      </c>
      <c r="Z50" s="1277" t="str">
        <f>IF(AND(BGAOWLeeftijdBereikt_AG="Ja",YEAR($D$9)=BGJaarBerekening),IF($Z$5&lt;M50-(SUM(AA$38:AA49)-SUM(Z$38:Z49))-P50,0,IF($Z$5&gt;N50-(SUM(AA$38:AA49)-SUM(Z$38:Z49))-P50,N50-M50-P50,$Z$5-SUM(Z$38:Z49))),"n.v.t")</f>
        <v>n.v.t</v>
      </c>
      <c r="AA50" s="464" t="str">
        <f t="shared" si="27"/>
        <v>n.v.t</v>
      </c>
      <c r="AB50" s="59"/>
      <c r="AF50" s="1951"/>
    </row>
    <row r="51" spans="1:32" ht="14.45" customHeight="1" thickBot="1" x14ac:dyDescent="0.3">
      <c r="A51" s="147"/>
      <c r="B51" s="98" t="s">
        <v>2</v>
      </c>
      <c r="C51" s="49"/>
      <c r="D51" s="49">
        <f>SUM(D43:D50)</f>
        <v>0</v>
      </c>
      <c r="E51" s="49"/>
      <c r="F51" s="49">
        <f>SUM(F43:F50)</f>
        <v>0</v>
      </c>
      <c r="L51" s="27">
        <v>3</v>
      </c>
      <c r="M51" s="679">
        <f>N50</f>
        <v>76817</v>
      </c>
      <c r="N51" s="680"/>
      <c r="O51" s="686">
        <v>0.495</v>
      </c>
      <c r="P51" s="687">
        <f>IF($N$4&lt;$M51,0,($N$4-$N50-1)*$O51)</f>
        <v>0</v>
      </c>
      <c r="Q51" s="470" t="str">
        <f>IF(AND(BGAOWLeeftijdBereikt_AP="Ja",YEAR($C$9)=BGJaarBerekening),IF(AL94VerzInkomen_AP&lt;$M51,0,(AL94VerzInkomen_AP-$N50)*$O51),"n.v.t")</f>
        <v>n.v.t</v>
      </c>
      <c r="R51" s="470" t="str">
        <f>IF(AND(BGAOWLeeftijdBereikt_AG="Ja",YEAR($D$9)=BGJaarBerekening),IF(AL94VerzInkomen_AG&lt;$M51,0,(AL94VerzInkomen_AG-$N50)*$O51),"n.v.t")</f>
        <v>n.v.t</v>
      </c>
      <c r="S51" s="199" t="str">
        <f>L51&amp;": vanaf "&amp;M51&amp;" tarief: "&amp;(O51*100)&amp;"%"</f>
        <v>3: vanaf 76817 tarief: 49,5%</v>
      </c>
      <c r="T51" s="470" t="str">
        <f t="shared" ref="T51:Y51" si="32">IF(AND(BGAOWLeeftijdBereikt_AP="Ja",YEAR($C$9)=BGJaarBerekening),IF(T$5&lt;$M51,0,(T$5-$N50)*$O51),"n.v.t")</f>
        <v>n.v.t</v>
      </c>
      <c r="U51" s="470" t="str">
        <f t="shared" si="32"/>
        <v>n.v.t</v>
      </c>
      <c r="V51" s="470" t="str">
        <f t="shared" si="32"/>
        <v>n.v.t</v>
      </c>
      <c r="W51" s="470" t="str">
        <f t="shared" si="32"/>
        <v>n.v.t</v>
      </c>
      <c r="X51" s="470" t="str">
        <f t="shared" si="32"/>
        <v>n.v.t</v>
      </c>
      <c r="Y51" s="470" t="str">
        <f t="shared" si="32"/>
        <v>n.v.t</v>
      </c>
      <c r="Z51" s="471" t="str">
        <f>IF(AND(BGAOWLeeftijdBereikt_AG="Ja",YEAR($D$9)=BGJaarBerekening),IF($Z$5&lt;M51-(SUM(AA38:AA50)-SUM(Z38:Z50)),0,IF($Z$5&gt;=M51-SUM(P$16:P19),$Z$5-SUM(Z$16:Z19))),"n.v.t")</f>
        <v>n.v.t</v>
      </c>
      <c r="AA51" s="470" t="str">
        <f t="shared" si="27"/>
        <v>n.v.t</v>
      </c>
      <c r="AB51" s="26"/>
      <c r="AF51" s="1951"/>
    </row>
    <row r="52" spans="1:32" ht="15.75" customHeight="1" thickBot="1" x14ac:dyDescent="0.3">
      <c r="O52" s="2796" t="s">
        <v>180</v>
      </c>
      <c r="P52" s="2797"/>
      <c r="Q52" s="386">
        <f>SUM(Q38:Q51)</f>
        <v>0</v>
      </c>
      <c r="R52" s="386">
        <f>SUM(R38:R51)</f>
        <v>0</v>
      </c>
      <c r="T52" s="386">
        <f t="shared" ref="T52:U52" si="33">SUM(T38:T51)</f>
        <v>0</v>
      </c>
      <c r="U52" s="1281">
        <f t="shared" si="33"/>
        <v>0</v>
      </c>
      <c r="V52" s="386">
        <f t="shared" ref="V52:W52" si="34">SUM(V38:V51)</f>
        <v>0</v>
      </c>
      <c r="W52" s="1281">
        <f t="shared" si="34"/>
        <v>0</v>
      </c>
      <c r="X52" s="386">
        <f>SUM(X38:X51)</f>
        <v>0</v>
      </c>
      <c r="Y52" s="1281">
        <f>SUM(Y38:Y51)</f>
        <v>0</v>
      </c>
      <c r="Z52" s="1279">
        <f>SUM(Z38:Z51)</f>
        <v>0</v>
      </c>
      <c r="AA52" s="447">
        <f>SUM(AA38:AA51)</f>
        <v>0</v>
      </c>
      <c r="AF52" s="1951"/>
    </row>
    <row r="53" spans="1:32" ht="15.75" thickBot="1" x14ac:dyDescent="0.3">
      <c r="A53" s="144">
        <v>41</v>
      </c>
      <c r="B53" s="92" t="s">
        <v>556</v>
      </c>
      <c r="C53" s="53" t="str">
        <f>BGPartner_AP</f>
        <v>A. Plichtig</v>
      </c>
      <c r="E53" s="18" t="str">
        <f>BGPartner_AG</f>
        <v>A. Gerechtigd</v>
      </c>
      <c r="AF53" s="1951"/>
    </row>
    <row r="54" spans="1:32" ht="15.75" thickBot="1" x14ac:dyDescent="0.3">
      <c r="B54" s="94" t="s">
        <v>90</v>
      </c>
      <c r="C54" s="40" t="s">
        <v>91</v>
      </c>
      <c r="D54" s="19" t="s">
        <v>90</v>
      </c>
      <c r="E54" s="40" t="s">
        <v>91</v>
      </c>
      <c r="F54" s="2" t="s">
        <v>785</v>
      </c>
      <c r="L54" s="2">
        <v>115</v>
      </c>
      <c r="M54" s="2209" t="s">
        <v>738</v>
      </c>
      <c r="O54" s="28" t="s">
        <v>125</v>
      </c>
      <c r="AF54" s="1951"/>
    </row>
    <row r="55" spans="1:32" ht="15.75" thickBot="1" x14ac:dyDescent="0.3">
      <c r="A55" s="8" t="s">
        <v>223</v>
      </c>
      <c r="B55" s="95" t="s">
        <v>70</v>
      </c>
      <c r="C55" s="18" t="str">
        <f>IF(C54="Maand","Maandloon",IF(C54="4 Weken","4-Wekenloon",IF(C54="Week","Weekloon",IF(C54="Anders","Anders",""))))</f>
        <v>Maandloon</v>
      </c>
      <c r="D55" s="18" t="s">
        <v>618</v>
      </c>
      <c r="E55" s="18" t="str">
        <f>IF(E54="Maand","Maandloon",IF(E54="4 Weken","4-Wekenloon",IF(E54="Week","Weekloon",IF(E54="Anders","Anders",""))))</f>
        <v>Maandloon</v>
      </c>
      <c r="F55" s="18" t="s">
        <v>618</v>
      </c>
      <c r="G55" s="2755" t="s">
        <v>191</v>
      </c>
      <c r="H55" s="2756"/>
      <c r="I55" s="2756"/>
      <c r="J55" s="2705"/>
      <c r="M55" s="2561" t="s">
        <v>115</v>
      </c>
      <c r="N55" s="881" t="str">
        <f>BGPartner_AP</f>
        <v>A. Plichtig</v>
      </c>
      <c r="O55" s="50" t="str">
        <f>BGPartner_AG</f>
        <v>A. Gerechtigd</v>
      </c>
      <c r="S55" s="51"/>
      <c r="AF55" s="1951"/>
    </row>
    <row r="56" spans="1:32" x14ac:dyDescent="0.25">
      <c r="A56" s="59"/>
      <c r="B56" s="145" t="s">
        <v>71</v>
      </c>
      <c r="C56" s="208">
        <v>0</v>
      </c>
      <c r="D56" s="299">
        <f>IF(BG060Jaaropgave2_AP&lt;&gt;0,"zie jaarloon (60)",IF(C$54="Maand",C56*12,IF(C$54="4 Weken",C56*13,IF(C$54="Week",C56*52,0))))</f>
        <v>0</v>
      </c>
      <c r="E56" s="208">
        <v>0</v>
      </c>
      <c r="F56" s="299">
        <f>IF(BG060Jaaropgave2_AG&lt;&gt;0,"zie jaarloon (60)",IF(E$54="Maand",E56*12,IF(E$54="4 Weken",E56*13,IF(E$54="Week",E56*52,0))))</f>
        <v>0</v>
      </c>
      <c r="G56" s="2743" t="s">
        <v>381</v>
      </c>
      <c r="H56" s="2744"/>
      <c r="I56" s="2744"/>
      <c r="J56" s="2745"/>
      <c r="M56" s="2562">
        <v>531</v>
      </c>
      <c r="N56" s="858" t="str">
        <f>IF(AND(YEAR($C$9)&lt;=BGJaarBerekening,N59="Ja"),$M56,"n.v.t")</f>
        <v>n.v.t</v>
      </c>
      <c r="O56" s="795" t="str">
        <f>IF(AND(YEAR($D$9)&lt;=BGJaarBerekening,O59="Ja"),$M56,"n.v.t")</f>
        <v>n.v.t</v>
      </c>
      <c r="S56" s="51"/>
      <c r="AF56" s="1951"/>
    </row>
    <row r="57" spans="1:32" ht="14.25" customHeight="1" x14ac:dyDescent="0.25">
      <c r="A57" s="58"/>
      <c r="B57" s="133" t="s">
        <v>72</v>
      </c>
      <c r="C57" s="32">
        <v>0</v>
      </c>
      <c r="D57" s="296">
        <f>IF(BG060Jaaropgave2_AP&lt;&gt;0,"zie jaarloon (60)",IF(C$54="Maand",C57*12,IF(C$54="4 Weken",C57*13,IF(C$54="Week",C57*52,0))))</f>
        <v>0</v>
      </c>
      <c r="E57" s="32">
        <v>0</v>
      </c>
      <c r="F57" s="296">
        <f>IF(BG060Jaaropgave2_AG&lt;&gt;0,"zie jaarloon (60)",IF(E$54="Maand",E57*12,IF(E$54="4 Weken",E57*13,IF(E$54="Week",E57*52,0))))</f>
        <v>0</v>
      </c>
      <c r="G57" s="2740" t="s">
        <v>381</v>
      </c>
      <c r="H57" s="2741"/>
      <c r="I57" s="2741"/>
      <c r="J57" s="2742"/>
      <c r="M57" s="2563" t="s">
        <v>178</v>
      </c>
      <c r="N57" s="2559">
        <f>YEAR($C$9)</f>
        <v>2049</v>
      </c>
      <c r="O57" s="2558">
        <f>YEAR($D$9)</f>
        <v>2049</v>
      </c>
      <c r="AF57" s="1951"/>
    </row>
    <row r="58" spans="1:32" ht="15.75" thickBot="1" x14ac:dyDescent="0.3">
      <c r="A58" s="152"/>
      <c r="B58" s="146" t="s">
        <v>516</v>
      </c>
      <c r="C58" s="209">
        <v>0</v>
      </c>
      <c r="D58" s="297">
        <f>IF(BG060Jaaropgave2_AP&lt;&gt;0,"zie jaarloon (60)",IF(C$54="Maand",C58*12,IF(C$54="4 Weken",C58*13,IF(C$54="Week",C58*52,0))))</f>
        <v>0</v>
      </c>
      <c r="E58" s="209">
        <v>0</v>
      </c>
      <c r="F58" s="297">
        <f>IF(BG060Jaaropgave2_AG&lt;&gt;0,"zie jaarloon (60)",IF(E$54="Maand",E58*12,IF(E$54="4 Weken",E58*13,IF(E$54="Week",E58*52,0))))</f>
        <v>0</v>
      </c>
      <c r="G58" s="2740" t="s">
        <v>380</v>
      </c>
      <c r="H58" s="2741"/>
      <c r="I58" s="2741"/>
      <c r="J58" s="2742"/>
      <c r="M58" s="2564" t="s">
        <v>1145</v>
      </c>
      <c r="N58" s="2560">
        <f>BGJaarBerekening</f>
        <v>2025</v>
      </c>
      <c r="O58" s="602">
        <f>BGJaarBerekening</f>
        <v>2025</v>
      </c>
      <c r="AF58" s="1951"/>
    </row>
    <row r="59" spans="1:32" ht="15.75" thickBot="1" x14ac:dyDescent="0.3">
      <c r="A59" s="147">
        <v>41</v>
      </c>
      <c r="B59" s="98" t="s">
        <v>300</v>
      </c>
      <c r="C59" s="49">
        <f>SUM(C56:C58)</f>
        <v>0</v>
      </c>
      <c r="D59" s="49">
        <f>SUM(D56:D58)</f>
        <v>0</v>
      </c>
      <c r="E59" s="49">
        <f>SUM(E56:E58)</f>
        <v>0</v>
      </c>
      <c r="F59" s="49">
        <f>SUM(F56:F58)</f>
        <v>0</v>
      </c>
      <c r="G59" s="2740"/>
      <c r="H59" s="2741"/>
      <c r="I59" s="2741"/>
      <c r="J59" s="2742"/>
      <c r="N59" s="215" t="s">
        <v>106</v>
      </c>
      <c r="O59" s="215" t="s">
        <v>106</v>
      </c>
      <c r="P59" s="2794" t="s">
        <v>123</v>
      </c>
      <c r="Q59" s="2721"/>
      <c r="R59" s="2721"/>
      <c r="S59" s="2722"/>
      <c r="AF59" s="1951"/>
    </row>
    <row r="60" spans="1:32" x14ac:dyDescent="0.25">
      <c r="A60" s="255">
        <v>46</v>
      </c>
      <c r="B60" s="318" t="s">
        <v>318</v>
      </c>
      <c r="C60" s="208">
        <v>0</v>
      </c>
      <c r="D60" s="299">
        <f>IF(BG060Jaaropgave2_AP&lt;&gt;0,"zie jaarloon (60)",IF(C$54="Maand",C60*12,IF(C$54="4 Weken",C60*13,IF(C$54="Week",C60*52,0))))</f>
        <v>0</v>
      </c>
      <c r="E60" s="208">
        <v>0</v>
      </c>
      <c r="F60" s="299">
        <f>IF(BG060Jaaropgave2_AG&lt;&gt;0,"zie jaarloon (60)",IF(E$54="Maand",E60*12,IF(E$54="4 Weken",E60*13,IF(E$54="Week",E60*52,0))))</f>
        <v>0</v>
      </c>
      <c r="G60" s="2740" t="s">
        <v>379</v>
      </c>
      <c r="H60" s="2741"/>
      <c r="I60" s="2741"/>
      <c r="J60" s="2742"/>
      <c r="M60" s="2706" t="s">
        <v>922</v>
      </c>
      <c r="N60" s="2773"/>
      <c r="O60" s="2773"/>
      <c r="P60" s="2773"/>
      <c r="Q60" s="2773"/>
      <c r="R60" s="2773"/>
      <c r="S60" s="2795"/>
      <c r="AF60" s="1951"/>
    </row>
    <row r="61" spans="1:32" x14ac:dyDescent="0.25">
      <c r="A61" s="255">
        <v>44</v>
      </c>
      <c r="B61" s="314" t="s">
        <v>301</v>
      </c>
      <c r="C61" s="315">
        <v>0.08</v>
      </c>
      <c r="D61" s="296">
        <f>IF(BG060Jaaropgave2_AP&lt;&gt;0,"zie jaarloon (60)",C61*(D56+D57+D60))</f>
        <v>0</v>
      </c>
      <c r="E61" s="315">
        <v>0.08</v>
      </c>
      <c r="F61" s="296">
        <f>IF(BG060Jaaropgave2_AG&lt;&gt;0,"zie jaarloon (60)",E61*(F56+F57+F60))</f>
        <v>0</v>
      </c>
      <c r="G61" s="2737" t="s">
        <v>615</v>
      </c>
      <c r="H61" s="2738"/>
      <c r="I61" s="2738"/>
      <c r="J61" s="2739"/>
      <c r="M61" s="2709" t="s">
        <v>511</v>
      </c>
      <c r="N61" s="2710"/>
      <c r="O61" s="2710"/>
      <c r="P61" s="2710"/>
      <c r="Q61" s="2710"/>
      <c r="R61" s="2710"/>
      <c r="S61" s="2711"/>
      <c r="AF61" s="1951"/>
    </row>
    <row r="62" spans="1:32" ht="14.45" customHeight="1" x14ac:dyDescent="0.25">
      <c r="A62" s="255"/>
      <c r="B62" s="314" t="s">
        <v>515</v>
      </c>
      <c r="C62" s="85" t="s">
        <v>106</v>
      </c>
      <c r="D62" s="607">
        <v>0</v>
      </c>
      <c r="E62" s="85" t="s">
        <v>106</v>
      </c>
      <c r="F62" s="607">
        <v>0</v>
      </c>
      <c r="G62" s="2737"/>
      <c r="H62" s="2738"/>
      <c r="I62" s="2738"/>
      <c r="J62" s="2739"/>
      <c r="M62" s="2709" t="s">
        <v>126</v>
      </c>
      <c r="N62" s="2710"/>
      <c r="O62" s="2710"/>
      <c r="P62" s="2710"/>
      <c r="Q62" s="2710"/>
      <c r="R62" s="2710"/>
      <c r="S62" s="2711"/>
      <c r="AF62" s="1951"/>
    </row>
    <row r="63" spans="1:32" ht="14.45" customHeight="1" thickBot="1" x14ac:dyDescent="0.3">
      <c r="A63" s="254">
        <v>47</v>
      </c>
      <c r="B63" s="314" t="s">
        <v>553</v>
      </c>
      <c r="C63" s="32">
        <v>0</v>
      </c>
      <c r="D63" s="296">
        <f>IF(BG060Jaaropgave2_AP&lt;&gt;0,"zie jaarloon (60)",IF(C$54="Anders",0,C63))</f>
        <v>0</v>
      </c>
      <c r="E63" s="32">
        <v>0</v>
      </c>
      <c r="F63" s="296">
        <f>IF(BG060Jaaropgave2_AG&lt;&gt;0,"zie jaarloon (60)",IF(E$54="Anders",0,E63))</f>
        <v>0</v>
      </c>
      <c r="G63" s="2737"/>
      <c r="H63" s="2738"/>
      <c r="I63" s="2738"/>
      <c r="J63" s="2739"/>
      <c r="M63" s="2712" t="s">
        <v>127</v>
      </c>
      <c r="N63" s="2713"/>
      <c r="O63" s="2713"/>
      <c r="P63" s="2713"/>
      <c r="Q63" s="2713"/>
      <c r="R63" s="2713"/>
      <c r="S63" s="2714"/>
      <c r="AF63" s="1951"/>
    </row>
    <row r="64" spans="1:32" ht="14.45" customHeight="1" thickBot="1" x14ac:dyDescent="0.3">
      <c r="A64" s="301">
        <v>48</v>
      </c>
      <c r="B64" s="316" t="s">
        <v>302</v>
      </c>
      <c r="C64" s="317">
        <v>0</v>
      </c>
      <c r="D64" s="297">
        <f>IF(BG060Jaaropgave2_AP&lt;&gt;0,"zie jaarloon (60)",IF(C60="Ja",(D56+D61)*C64,D56*C64))</f>
        <v>0</v>
      </c>
      <c r="E64" s="317">
        <v>0</v>
      </c>
      <c r="F64" s="297">
        <f>IF(BG060Jaaropgave2_AG&lt;&gt;0,"zie jaarloon (60)",IF(E60="Ja",(F56+F61)*E64,F56*E64))</f>
        <v>0</v>
      </c>
      <c r="G64" s="2737" t="s">
        <v>615</v>
      </c>
      <c r="H64" s="2738"/>
      <c r="I64" s="2738"/>
      <c r="J64" s="2739"/>
      <c r="Q64" s="2"/>
      <c r="R64" s="2"/>
      <c r="AF64" s="1951"/>
    </row>
    <row r="65" spans="1:32" ht="14.45" customHeight="1" thickBot="1" x14ac:dyDescent="0.3">
      <c r="A65" s="301" t="s">
        <v>621</v>
      </c>
      <c r="B65" s="316" t="str">
        <f>"Individueel keuze budget (IKB/PKB), vul % per "&amp;LOWER(C54)&amp;" in"</f>
        <v>Individueel keuze budget (IKB/PKB), vul % per maand in</v>
      </c>
      <c r="C65" s="317">
        <v>0</v>
      </c>
      <c r="D65" s="297">
        <f>IF(BG060Jaaropgave2_AP&lt;&gt;0,"zie jaarloon (60)",IF(C$38="Maand",D56*C65*12,IF(C$38="4 Weken",D56*C65*13,IF(C$38="Week",D56*C65*52,0))))</f>
        <v>0</v>
      </c>
      <c r="E65" s="317">
        <v>0</v>
      </c>
      <c r="F65" s="297">
        <f>IF(BG060Jaaropgave2_AG&lt;&gt;0,"zie jaarloon (60)",IF(E$38="Maand",F56*E65*12,IF(E$38="4 Weken",F56*E65*13,IF(E$38="Week",F56*E65*52,0))))</f>
        <v>0</v>
      </c>
      <c r="G65" s="2737" t="s">
        <v>614</v>
      </c>
      <c r="H65" s="2738"/>
      <c r="I65" s="2738"/>
      <c r="J65" s="2739"/>
      <c r="L65" s="2">
        <v>115</v>
      </c>
      <c r="M65" s="20" t="s">
        <v>1146</v>
      </c>
      <c r="N65" s="18" t="str">
        <f>BGPartner_AP</f>
        <v>A. Plichtig</v>
      </c>
      <c r="O65" s="60" t="str">
        <f>BGPartner_AG</f>
        <v>A. Gerechtigd</v>
      </c>
      <c r="AF65" s="1951"/>
    </row>
    <row r="66" spans="1:32" ht="14.45" customHeight="1" thickBot="1" x14ac:dyDescent="0.3">
      <c r="A66" s="301" t="s">
        <v>621</v>
      </c>
      <c r="B66" s="316" t="s">
        <v>616</v>
      </c>
      <c r="C66" s="209">
        <v>0</v>
      </c>
      <c r="D66" s="296">
        <f>IF(BG060Jaaropgave2_AP&lt;&gt;0,"zie jaarloon (60)",IF(C65=0,0,IF(C66&lt;=D65,C66*-1,D65*-1)))</f>
        <v>0</v>
      </c>
      <c r="E66" s="209">
        <v>0</v>
      </c>
      <c r="F66" s="296">
        <f>IF(BG060Jaaropgave2_AG&lt;&gt;0,"zie jaarloon (60)",IF(E65=0,0,IF(E66&lt;=F65,E66*-1,F65*-1)))</f>
        <v>0</v>
      </c>
      <c r="G66" s="2782" t="s">
        <v>617</v>
      </c>
      <c r="H66" s="2783"/>
      <c r="I66" s="2783"/>
      <c r="J66" s="2784"/>
      <c r="N66" s="2553" t="s">
        <v>106</v>
      </c>
      <c r="O66" s="775" t="s">
        <v>106</v>
      </c>
      <c r="P66" s="2721" t="s">
        <v>123</v>
      </c>
      <c r="Q66" s="2721"/>
      <c r="R66" s="2721"/>
      <c r="S66" s="2722"/>
      <c r="AF66" s="1951"/>
    </row>
    <row r="67" spans="1:32" ht="14.45" customHeight="1" thickBot="1" x14ac:dyDescent="0.3">
      <c r="A67" s="147"/>
      <c r="B67" s="98" t="s">
        <v>549</v>
      </c>
      <c r="C67" s="49"/>
      <c r="D67" s="49">
        <f>SUM(D59:D66)</f>
        <v>0</v>
      </c>
      <c r="E67" s="49"/>
      <c r="F67" s="49">
        <f>SUM(F59:F66)</f>
        <v>0</v>
      </c>
      <c r="M67" s="2706" t="s">
        <v>402</v>
      </c>
      <c r="N67" s="2707"/>
      <c r="O67" s="2707"/>
      <c r="P67" s="2707"/>
      <c r="Q67" s="2707"/>
      <c r="R67" s="2707"/>
      <c r="S67" s="2708"/>
      <c r="AF67" s="1951"/>
    </row>
    <row r="68" spans="1:32" ht="14.45" customHeight="1" x14ac:dyDescent="0.25">
      <c r="M68" s="139" t="str">
        <f>"1) U kind is op 1 januari "&amp;BGJaarBerekening&amp;" jonger dan 12 jaar"</f>
        <v>1) U kind is op 1 januari 2025 jonger dan 12 jaar</v>
      </c>
      <c r="N68" s="2"/>
      <c r="O68" s="2"/>
      <c r="P68" s="2"/>
      <c r="Q68" s="2"/>
      <c r="R68" s="2"/>
      <c r="S68" s="140"/>
      <c r="AF68" s="1951"/>
    </row>
    <row r="69" spans="1:32" ht="14.45" customHeight="1" thickBot="1" x14ac:dyDescent="0.3">
      <c r="B69" s="92" t="s">
        <v>545</v>
      </c>
      <c r="M69" s="139" t="s">
        <v>598</v>
      </c>
      <c r="N69" s="2"/>
      <c r="O69" s="2"/>
      <c r="P69" s="2"/>
      <c r="Q69" s="2"/>
      <c r="R69" s="2"/>
      <c r="S69" s="140"/>
      <c r="AF69" s="1951"/>
    </row>
    <row r="70" spans="1:32" ht="14.45" customHeight="1" thickBot="1" x14ac:dyDescent="0.3">
      <c r="A70" s="8" t="s">
        <v>223</v>
      </c>
      <c r="B70" s="95" t="s">
        <v>70</v>
      </c>
      <c r="C70" s="18" t="str">
        <f>C53</f>
        <v>A. Plichtig</v>
      </c>
      <c r="D70" s="105" t="s">
        <v>1</v>
      </c>
      <c r="E70" s="18" t="str">
        <f>E53</f>
        <v>A. Gerechtigd</v>
      </c>
      <c r="F70" s="60" t="s">
        <v>1</v>
      </c>
      <c r="G70" s="2755" t="s">
        <v>191</v>
      </c>
      <c r="H70" s="2756"/>
      <c r="I70" s="2756"/>
      <c r="J70" s="2705"/>
      <c r="M70" s="139" t="s">
        <v>122</v>
      </c>
      <c r="N70" s="2"/>
      <c r="O70" s="2"/>
      <c r="P70" s="2"/>
      <c r="Q70" s="2"/>
      <c r="R70" s="2"/>
      <c r="S70" s="140"/>
      <c r="AF70" s="1951"/>
    </row>
    <row r="71" spans="1:32" x14ac:dyDescent="0.25">
      <c r="A71" s="56">
        <v>1</v>
      </c>
      <c r="B71" s="785" t="s">
        <v>546</v>
      </c>
      <c r="C71" s="793" t="s">
        <v>548</v>
      </c>
      <c r="D71" s="789">
        <f>D51</f>
        <v>0</v>
      </c>
      <c r="E71" s="793" t="s">
        <v>548</v>
      </c>
      <c r="F71" s="791">
        <f>F51</f>
        <v>0</v>
      </c>
      <c r="G71" s="2743"/>
      <c r="H71" s="2744"/>
      <c r="I71" s="2744"/>
      <c r="J71" s="2745"/>
      <c r="M71" s="139" t="s">
        <v>989</v>
      </c>
      <c r="N71" s="2"/>
      <c r="O71" s="2"/>
      <c r="P71" s="2"/>
      <c r="Q71" s="2"/>
      <c r="R71" s="2"/>
      <c r="S71" s="140"/>
      <c r="AF71" s="1951"/>
    </row>
    <row r="72" spans="1:32" ht="15.75" thickBot="1" x14ac:dyDescent="0.3">
      <c r="A72" s="27">
        <v>2</v>
      </c>
      <c r="B72" s="786" t="s">
        <v>547</v>
      </c>
      <c r="C72" s="794" t="s">
        <v>548</v>
      </c>
      <c r="D72" s="790">
        <f>D67</f>
        <v>0</v>
      </c>
      <c r="E72" s="794" t="s">
        <v>548</v>
      </c>
      <c r="F72" s="792">
        <f>F67</f>
        <v>0</v>
      </c>
      <c r="G72" s="2802"/>
      <c r="H72" s="2803"/>
      <c r="I72" s="2803"/>
      <c r="J72" s="2804"/>
      <c r="M72" s="139" t="s">
        <v>990</v>
      </c>
      <c r="N72" s="2"/>
      <c r="O72" s="2"/>
      <c r="P72" s="2"/>
      <c r="Q72" s="2"/>
      <c r="R72" s="2"/>
      <c r="S72" s="140"/>
      <c r="AF72" s="1951"/>
    </row>
    <row r="73" spans="1:32" ht="15.75" thickBot="1" x14ac:dyDescent="0.3">
      <c r="A73" s="147"/>
      <c r="B73" s="98" t="s">
        <v>2</v>
      </c>
      <c r="C73" s="49"/>
      <c r="D73" s="49">
        <f>SUM(D71:D72)</f>
        <v>0</v>
      </c>
      <c r="E73" s="49"/>
      <c r="F73" s="49">
        <f>SUM(F71:F72)</f>
        <v>0</v>
      </c>
      <c r="M73" s="139" t="str">
        <f>"3) Uw arbeidsinkomen is hoger dan het voor "&amp;BGJaarBerekening&amp;" vastgestelde bedrag a € "&amp;N81</f>
        <v>3) Uw arbeidsinkomen is hoger dan het voor 2025 vastgestelde bedrag a € 6145</v>
      </c>
      <c r="N73" s="2"/>
      <c r="O73" s="2"/>
      <c r="P73" s="2"/>
      <c r="Q73" s="2"/>
      <c r="R73" s="2"/>
      <c r="S73" s="140"/>
      <c r="AF73" s="1951"/>
    </row>
    <row r="74" spans="1:32" x14ac:dyDescent="0.25">
      <c r="E74" s="17"/>
      <c r="M74" s="139" t="s">
        <v>992</v>
      </c>
      <c r="N74" s="2"/>
      <c r="O74" s="2"/>
      <c r="P74" s="2"/>
      <c r="Q74" s="2"/>
      <c r="R74" s="2"/>
      <c r="S74" s="140"/>
      <c r="AF74" s="1951"/>
    </row>
    <row r="75" spans="1:32" ht="15" customHeight="1" thickBot="1" x14ac:dyDescent="0.3">
      <c r="A75" s="144">
        <v>45</v>
      </c>
      <c r="B75" s="393" t="s">
        <v>558</v>
      </c>
      <c r="M75" s="141" t="s">
        <v>993</v>
      </c>
      <c r="N75" s="142"/>
      <c r="O75" s="142"/>
      <c r="P75" s="142"/>
      <c r="Q75" s="142"/>
      <c r="R75" s="142"/>
      <c r="S75" s="143"/>
      <c r="AF75" s="1951"/>
    </row>
    <row r="76" spans="1:32" ht="16.5" thickBot="1" x14ac:dyDescent="0.3">
      <c r="A76" s="39" t="s">
        <v>223</v>
      </c>
      <c r="B76" s="132" t="s">
        <v>70</v>
      </c>
      <c r="C76" s="1013" t="str">
        <f>BGPartner_AP</f>
        <v>A. Plichtig</v>
      </c>
      <c r="D76" s="50" t="s">
        <v>1</v>
      </c>
      <c r="E76" s="50" t="str">
        <f>BGPartner_AG</f>
        <v>A. Gerechtigd</v>
      </c>
      <c r="F76" s="50" t="s">
        <v>1</v>
      </c>
      <c r="G76" s="2755" t="s">
        <v>191</v>
      </c>
      <c r="H76" s="2756"/>
      <c r="I76" s="2756"/>
      <c r="J76" s="2705"/>
      <c r="M76" s="2723" t="str">
        <f>CONCATENATE("Als één van beiden in ",C17," de AOW leeftijd bereikt gelden speciale tarieven, hiervoor moet een aanvraag worden ingediend !!!")</f>
        <v>Als één van beiden in 2025 de AOW leeftijd bereikt gelden speciale tarieven, hiervoor moet een aanvraag worden ingediend !!!</v>
      </c>
      <c r="N76" s="2724"/>
      <c r="O76" s="2724"/>
      <c r="P76" s="2724"/>
      <c r="Q76" s="2724"/>
      <c r="R76" s="2724"/>
      <c r="S76" s="2724"/>
      <c r="AF76" s="1951"/>
    </row>
    <row r="77" spans="1:32" ht="15.75" thickBot="1" x14ac:dyDescent="0.3">
      <c r="A77" s="58"/>
      <c r="B77" s="710" t="s">
        <v>559</v>
      </c>
      <c r="C77" s="84">
        <v>0</v>
      </c>
      <c r="D77" s="2098"/>
      <c r="E77" s="84">
        <v>0</v>
      </c>
      <c r="F77" s="2098"/>
      <c r="G77" s="2746" t="s">
        <v>607</v>
      </c>
      <c r="H77" s="2747"/>
      <c r="I77" s="2747"/>
      <c r="J77" s="2748"/>
      <c r="AF77" s="1951"/>
    </row>
    <row r="78" spans="1:32" ht="14.45" customHeight="1" thickBot="1" x14ac:dyDescent="0.3">
      <c r="A78" s="394"/>
      <c r="B78" s="2091" t="s">
        <v>406</v>
      </c>
      <c r="C78" s="35">
        <v>0</v>
      </c>
      <c r="D78" s="2099"/>
      <c r="E78" s="35">
        <v>0</v>
      </c>
      <c r="F78" s="2099"/>
      <c r="G78" s="2749"/>
      <c r="H78" s="2750"/>
      <c r="I78" s="2750"/>
      <c r="J78" s="2751"/>
      <c r="L78" s="2">
        <v>115</v>
      </c>
      <c r="M78" s="2209" t="s">
        <v>1054</v>
      </c>
      <c r="O78" s="28" t="s">
        <v>991</v>
      </c>
      <c r="X78" s="2702" t="s">
        <v>1051</v>
      </c>
      <c r="Y78" s="2703"/>
      <c r="Z78" s="504" t="s">
        <v>456</v>
      </c>
      <c r="AA78" s="1883"/>
      <c r="AF78" s="1951"/>
    </row>
    <row r="79" spans="1:32" ht="15.75" thickBot="1" x14ac:dyDescent="0.3">
      <c r="A79" s="147">
        <v>45</v>
      </c>
      <c r="B79" s="98" t="s">
        <v>557</v>
      </c>
      <c r="C79" s="49">
        <f>SUM(C77:C78)</f>
        <v>0</v>
      </c>
      <c r="D79" s="49">
        <f>46*C79</f>
        <v>0</v>
      </c>
      <c r="E79" s="49">
        <f>SUM(E77:E78)</f>
        <v>0</v>
      </c>
      <c r="F79" s="49">
        <f>46*E79</f>
        <v>0</v>
      </c>
      <c r="G79" s="2752"/>
      <c r="H79" s="2753"/>
      <c r="I79" s="2753"/>
      <c r="J79" s="2754"/>
      <c r="M79" s="107" t="str">
        <f>"AOW leeftijd wordt in "&amp;BGJaarBerekening&amp;" nog NIET bereikt"</f>
        <v>AOW leeftijd wordt in 2025 nog NIET bereikt</v>
      </c>
      <c r="P79" s="82" t="s">
        <v>175</v>
      </c>
      <c r="Q79" s="386">
        <f>BG041eaArbeidsloon_AP+'Alimentatie 2025-01'!D17+'Alimentatie 2025-01'!D18+IF('Alimentatie 2025-01'!D19="zie jaarloon (60)",0,'Alimentatie 2025-01'!D19)-'Alimentatie 2025-01'!D30-IF('Alimentatie 2025-01'!D32="zie jaarloon (60)",0,'Alimentatie 2025-01'!D32)-IF('Alimentatie 2025-01'!D33="zie jaarloon (60)",0,'Alimentatie 2025-01'!D33)-IF(AL55PremieWW_AP="zie jaarloon (60)",0,AL55PremieWW_AP)-'Alimentatie 2025-01'!D41+IF('Alimentatie 2025-01'!D43="zie jaarloon (60)",0,'Alimentatie 2025-01'!D43)-'Alimentatie 2025-01'!D54+AL70WinstOnderneming_AP+AL78OverigeWerkz_AP+AL60Arbeidsinkomen_AP</f>
        <v>0</v>
      </c>
      <c r="R79" s="509">
        <f>BG041eaArbeidsloon_AG+'Alimentatie 2025-01'!G17+'Alimentatie 2025-01'!G18+IF('Alimentatie 2025-01'!G19="zie jaarloon (60)",0,'Alimentatie 2025-01'!G19)-'Alimentatie 2025-01'!G30-IF('Alimentatie 2025-01'!G32="zie jaarloon (60)",0,'Alimentatie 2025-01'!G32)-IF('Alimentatie 2025-01'!G33="zie jaarloon (60)",0,'Alimentatie 2025-01'!G33)-IF(AL55PremieWW_AG="zie jaarloon (60)",0,AL55PremieWW_AG)-'Alimentatie 2025-01'!G41+IF('Alimentatie 2025-01'!G43="zie jaarloon (60)",0,'Alimentatie 2025-01'!G43)-'Alimentatie 2025-01'!G54+AL70WinstOnderneming_AG+AL78OverigeWerkz_AG+AL60Arbeidsinkomen_AG</f>
        <v>0</v>
      </c>
      <c r="S79" s="51"/>
      <c r="X79" s="502">
        <f>Q79</f>
        <v>0</v>
      </c>
      <c r="Y79" s="501">
        <f>R79</f>
        <v>0</v>
      </c>
      <c r="Z79" s="447">
        <f>Behoefteberekening!F29</f>
        <v>0</v>
      </c>
      <c r="AA79" s="1883"/>
      <c r="AF79" s="1951"/>
    </row>
    <row r="80" spans="1:32" ht="16.5" thickBot="1" x14ac:dyDescent="0.3">
      <c r="A80" s="298"/>
      <c r="B80" s="395" t="s">
        <v>407</v>
      </c>
      <c r="C80" s="2821"/>
      <c r="D80" s="2822"/>
      <c r="E80" s="2822"/>
      <c r="F80" s="2822"/>
      <c r="G80" s="2822"/>
      <c r="H80" s="2822"/>
      <c r="I80" s="2822"/>
      <c r="J80" s="2823"/>
      <c r="M80" s="959" t="s">
        <v>241</v>
      </c>
      <c r="N80" s="960" t="s">
        <v>518</v>
      </c>
      <c r="O80" s="33" t="s">
        <v>115</v>
      </c>
      <c r="P80" s="34" t="s">
        <v>77</v>
      </c>
      <c r="Q80" s="18" t="str">
        <f>BGPartner_AP</f>
        <v>A. Plichtig</v>
      </c>
      <c r="R80" s="60" t="str">
        <f>BGPartner_AG</f>
        <v>A. Gerechtigd</v>
      </c>
      <c r="S80" s="106" t="s">
        <v>117</v>
      </c>
      <c r="X80" s="18" t="str">
        <f>BGPartner_AP</f>
        <v>A. Plichtig</v>
      </c>
      <c r="Y80" s="60" t="str">
        <f>BGPartner_AG</f>
        <v>A. Gerechtigd</v>
      </c>
      <c r="Z80" s="18" t="str">
        <f>BGPartner_AG</f>
        <v>A. Gerechtigd</v>
      </c>
      <c r="AA80" s="1883"/>
      <c r="AF80" s="1951"/>
    </row>
    <row r="81" spans="1:32" ht="15.75" thickBot="1" x14ac:dyDescent="0.3">
      <c r="A81" s="147">
        <v>45</v>
      </c>
      <c r="B81" s="98" t="s">
        <v>557</v>
      </c>
      <c r="C81" s="1975"/>
      <c r="D81" s="47">
        <v>0</v>
      </c>
      <c r="E81" s="2104"/>
      <c r="F81" s="47">
        <v>0</v>
      </c>
      <c r="G81" s="2807" t="s">
        <v>408</v>
      </c>
      <c r="H81" s="2807"/>
      <c r="I81" s="2807"/>
      <c r="J81" s="2808"/>
      <c r="M81" s="387">
        <v>0</v>
      </c>
      <c r="N81" s="654">
        <v>6145</v>
      </c>
      <c r="O81" s="955"/>
      <c r="P81" s="689"/>
      <c r="Q81" s="2257">
        <v>0</v>
      </c>
      <c r="R81" s="2256">
        <v>0</v>
      </c>
      <c r="S81" s="36" t="s">
        <v>121</v>
      </c>
      <c r="X81" s="573">
        <v>0</v>
      </c>
      <c r="Y81" s="573">
        <v>0</v>
      </c>
      <c r="Z81" s="573">
        <v>0</v>
      </c>
      <c r="AA81" s="1883"/>
      <c r="AF81" s="1951"/>
    </row>
    <row r="82" spans="1:32" ht="15.75" thickBot="1" x14ac:dyDescent="0.3">
      <c r="A82" s="2"/>
      <c r="B82" s="2"/>
      <c r="C82" s="2"/>
      <c r="D82" s="2"/>
      <c r="M82" s="575">
        <f>N81</f>
        <v>6145</v>
      </c>
      <c r="N82" s="648">
        <v>32223</v>
      </c>
      <c r="O82" s="693">
        <v>0</v>
      </c>
      <c r="P82" s="691">
        <v>0.1145</v>
      </c>
      <c r="Q82" s="465">
        <f>IF(AND(Q$79&gt;$M82,Q$79&lt;=$N82),$O82+$P82*(Q$79-($M82-1)),0)</f>
        <v>0</v>
      </c>
      <c r="R82" s="936">
        <f>IF(AND(R$79&gt;$M82,R$79&lt;=$N82),$O82+$P82*(R$79-($M82-1)),0)</f>
        <v>0</v>
      </c>
      <c r="S82" s="926" t="str">
        <f>P82*100&amp;"% x (arbeidsinkomen - € "&amp;N81&amp;")"</f>
        <v>11,45% x (arbeidsinkomen - € 6145)</v>
      </c>
      <c r="X82" s="586">
        <f t="shared" ref="X82:Y82" si="35">IF(AND(X$79&gt;$M82,X$79&lt;=$N82),$O82+$P82*(X$79-($M82-1)),0)</f>
        <v>0</v>
      </c>
      <c r="Y82" s="586">
        <f t="shared" si="35"/>
        <v>0</v>
      </c>
      <c r="Z82" s="279" t="str">
        <f>IF(AND($Z$79&gt;$M82,$Z$79&lt;=$N82),$P82*($Z$79-($M82-1)),"--")</f>
        <v>--</v>
      </c>
      <c r="AA82" s="1883"/>
      <c r="AF82" s="1951"/>
    </row>
    <row r="83" spans="1:32" ht="16.5" thickBot="1" x14ac:dyDescent="0.3">
      <c r="B83" s="708" t="s">
        <v>592</v>
      </c>
      <c r="C83" s="53" t="str">
        <f>BGPartner_AP</f>
        <v>A. Plichtig</v>
      </c>
      <c r="E83" s="18" t="str">
        <f>BGPartner_AG</f>
        <v>A. Gerechtigd</v>
      </c>
      <c r="M83" s="576">
        <f>N82</f>
        <v>32223</v>
      </c>
      <c r="N83" s="694">
        <v>0</v>
      </c>
      <c r="O83" s="694">
        <v>2986</v>
      </c>
      <c r="P83" s="692"/>
      <c r="Q83" s="466" t="str">
        <f>IF(Q$79&gt;$M83,$O83,"--")</f>
        <v>--</v>
      </c>
      <c r="R83" s="2173">
        <f>IF(R$79&gt;$M83,$O83,0)</f>
        <v>0</v>
      </c>
      <c r="S83" s="928" t="str">
        <f>"€ "&amp;O83</f>
        <v>€ 2986</v>
      </c>
      <c r="X83" s="958" t="str">
        <f t="shared" ref="X83:Y83" si="36">IF(X$79&gt;$M83,$O83,"--")</f>
        <v>--</v>
      </c>
      <c r="Y83" s="958" t="str">
        <f t="shared" si="36"/>
        <v>--</v>
      </c>
      <c r="Z83" s="574">
        <f>IF($Z$79&gt;$M83,$O83,0)</f>
        <v>0</v>
      </c>
      <c r="AA83" s="1883"/>
      <c r="AF83" s="1951"/>
    </row>
    <row r="84" spans="1:32" ht="15.75" thickBot="1" x14ac:dyDescent="0.3">
      <c r="A84" s="8" t="s">
        <v>223</v>
      </c>
      <c r="B84" s="95" t="s">
        <v>137</v>
      </c>
      <c r="C84" s="23" t="str">
        <f>C39</f>
        <v>Maandloon</v>
      </c>
      <c r="D84" s="18" t="s">
        <v>94</v>
      </c>
      <c r="E84" s="105" t="str">
        <f>E39</f>
        <v>Maandloon</v>
      </c>
      <c r="F84" s="18" t="s">
        <v>285</v>
      </c>
      <c r="G84" s="2755" t="s">
        <v>191</v>
      </c>
      <c r="H84" s="2756"/>
      <c r="I84" s="2756"/>
      <c r="J84" s="2705"/>
      <c r="M84" s="2715" t="s">
        <v>116</v>
      </c>
      <c r="N84" s="2719"/>
      <c r="O84" s="2719"/>
      <c r="P84" s="2720"/>
      <c r="Q84" s="327" t="str">
        <f>IF($N$66="Ja",IF(BGAOWLeeftijdBereikt_AP="Ja","zie AOW-tabel",IF(BG_Onderde12_AP="Ja",SUM(Q81:Q83),0)),"n.v.t")</f>
        <v>n.v.t</v>
      </c>
      <c r="R84" s="509" t="str">
        <f>IF($O$66="Ja",IF(BGAOWLeeftijdBereikt_AG="Ja","zie AOW-tabel",IF(BG_Onderde12_AG="Ja",SUM(R81:R83),0)),"n.v.t")</f>
        <v>n.v.t</v>
      </c>
      <c r="X84" s="38" t="str">
        <f>IF($N$66="Ja",IF(BGAOWLeeftijdBereikt_AP="Ja","zie AOW-tabel",SUM(X81:X83)),"n.v.t")</f>
        <v>n.v.t</v>
      </c>
      <c r="Y84" s="386" t="str">
        <f>IF($O$66="Ja",IF(BGAOWLeeftijdBereikt_AG="Ja","zie AOW-tabel",SUM(Y81:Y83)),"n.v.t")</f>
        <v>n.v.t</v>
      </c>
      <c r="Z84" s="386">
        <f>IF(BGAOWLeeftijdBereikt_AG="Ja","Zie AOW-tabel",SUM(Z81:Z83))</f>
        <v>0</v>
      </c>
      <c r="AA84" s="1883"/>
      <c r="AF84" s="1951"/>
    </row>
    <row r="85" spans="1:32" x14ac:dyDescent="0.25">
      <c r="A85" s="255">
        <v>49</v>
      </c>
      <c r="B85" s="613" t="s">
        <v>59</v>
      </c>
      <c r="C85" s="1969">
        <v>0</v>
      </c>
      <c r="D85" s="909">
        <f>IF(BG060Jaaropgave1_AP&lt;&gt;0,"zie jaarloon (60)",IF(Basisgegevens!C$38="Maand",C85*12,IF(Basisgegevens!C$38="4 Weken",C85*13,IF(Basisgegevens!C$38="Weekloon",C85*52,0))))</f>
        <v>0</v>
      </c>
      <c r="E85" s="1972">
        <v>0</v>
      </c>
      <c r="F85" s="909">
        <f>IF(BG060Jaaropgave1_AG&lt;&gt;0,"zie jaarloon (60)",IF(Basisgegevens!E$38="Maand",E85*12,IF(Basisgegevens!E$38="4 Weken",E85*13,IF(Basisgegevens!E$38="Weekloon",E85*52,0))))</f>
        <v>0</v>
      </c>
      <c r="G85" s="2743" t="s">
        <v>409</v>
      </c>
      <c r="H85" s="2744"/>
      <c r="I85" s="2744"/>
      <c r="J85" s="2745"/>
      <c r="AF85" s="1951"/>
    </row>
    <row r="86" spans="1:32" ht="15.75" thickBot="1" x14ac:dyDescent="0.3">
      <c r="A86" s="255">
        <v>51</v>
      </c>
      <c r="B86" s="614" t="s">
        <v>224</v>
      </c>
      <c r="C86" s="1970">
        <v>0</v>
      </c>
      <c r="D86" s="909">
        <f>IF(BG060Jaaropgave1_AP&lt;&gt;0,"zie jaarloon (60)",IF(Basisgegevens!C$38="Maand",C86*12,IF(Basisgegevens!C$38="4 Weken",C86*13,IF(Basisgegevens!C$38="Weekloon",C86*52,0))))</f>
        <v>0</v>
      </c>
      <c r="E86" s="1973">
        <v>0</v>
      </c>
      <c r="F86" s="909">
        <f>IF(BG060Jaaropgave1_AG&lt;&gt;0,"zie jaarloon (60)",IF(Basisgegevens!E$38="Maand",E86*12,IF(Basisgegevens!E$38="4 Weken",E86*13,IF(Basisgegevens!E$38="Weekloon",E86*52,0))))</f>
        <v>0</v>
      </c>
      <c r="G86" s="2740" t="s">
        <v>409</v>
      </c>
      <c r="H86" s="2741"/>
      <c r="I86" s="2741"/>
      <c r="J86" s="2742"/>
      <c r="M86" s="2209" t="s">
        <v>1053</v>
      </c>
      <c r="O86" s="28" t="s">
        <v>991</v>
      </c>
      <c r="AF86" s="1951"/>
    </row>
    <row r="87" spans="1:32" ht="15.75" customHeight="1" thickBot="1" x14ac:dyDescent="0.3">
      <c r="A87" s="254">
        <v>52</v>
      </c>
      <c r="B87" s="615" t="s">
        <v>260</v>
      </c>
      <c r="C87" s="1971">
        <v>0</v>
      </c>
      <c r="D87" s="910">
        <f>IF(BG060Jaaropgave1_AP&lt;&gt;0,"zie jaarloon (60)",IF(Basisgegevens!C$38="Maand",C87*12,IF(Basisgegevens!C$38="4 Weken",C87*13,IF(Basisgegevens!C$38="Weekloon",C87*52,0))))</f>
        <v>0</v>
      </c>
      <c r="E87" s="1974">
        <v>0</v>
      </c>
      <c r="F87" s="910">
        <f>IF(BG060Jaaropgave1_AG&lt;&gt;0,"zie jaarloon (60)",IF(Basisgegevens!E$38="Maand",E87*12,IF(Basisgegevens!E$38="4 Weken",E87*13,IF(Basisgegevens!E$38="Weekloon",E87*52,0))))</f>
        <v>0</v>
      </c>
      <c r="G87" s="2740" t="s">
        <v>409</v>
      </c>
      <c r="H87" s="2741"/>
      <c r="I87" s="2741"/>
      <c r="J87" s="2742"/>
      <c r="M87" s="107" t="str">
        <f>"AOW leeftijd is VOOR "&amp;BGJaarBerekening&amp;" al bereikt"</f>
        <v>AOW leeftijd is VOOR 2025 al bereikt</v>
      </c>
      <c r="P87" s="51"/>
      <c r="Q87" s="51"/>
      <c r="R87" s="51"/>
      <c r="S87" s="51"/>
      <c r="X87" s="2702" t="s">
        <v>1051</v>
      </c>
      <c r="Y87" s="2703"/>
      <c r="Z87" s="504" t="s">
        <v>456</v>
      </c>
      <c r="AA87" s="1883"/>
      <c r="AF87" s="1951"/>
    </row>
    <row r="88" spans="1:32" ht="15.75" thickBot="1" x14ac:dyDescent="0.3">
      <c r="A88" s="254">
        <v>53</v>
      </c>
      <c r="B88" s="615" t="s">
        <v>261</v>
      </c>
      <c r="C88" s="1971">
        <v>0</v>
      </c>
      <c r="D88" s="910">
        <f>IF(BG060Jaaropgave1_AP&lt;&gt;0,"zie jaarloon (60)",IF(Basisgegevens!C$38="Maand",C88*12,IF(Basisgegevens!C$38="4 Weken",C88*13,IF(Basisgegevens!C$38="Weekloon",C88*52,0))))</f>
        <v>0</v>
      </c>
      <c r="E88" s="1974">
        <v>0</v>
      </c>
      <c r="F88" s="910">
        <f>IF(BG060Jaaropgave1_AG&lt;&gt;0,"zie jaarloon (60)",IF(Basisgegevens!E$38="Maand",E88*12,IF(Basisgegevens!E$38="4 Weken",E88*13,IF(Basisgegevens!E$38="Weekloon",E88*52,0))))</f>
        <v>0</v>
      </c>
      <c r="G88" s="2740" t="s">
        <v>384</v>
      </c>
      <c r="H88" s="2741"/>
      <c r="I88" s="2741"/>
      <c r="J88" s="2742"/>
      <c r="M88" s="959" t="s">
        <v>241</v>
      </c>
      <c r="N88" s="960" t="s">
        <v>518</v>
      </c>
      <c r="O88" s="33" t="s">
        <v>115</v>
      </c>
      <c r="P88" s="34" t="s">
        <v>77</v>
      </c>
      <c r="Q88" s="18" t="str">
        <f>BGPartner_AP</f>
        <v>A. Plichtig</v>
      </c>
      <c r="R88" s="60" t="str">
        <f>BGPartner_AG</f>
        <v>A. Gerechtigd</v>
      </c>
      <c r="S88" s="106" t="s">
        <v>117</v>
      </c>
      <c r="X88" s="18" t="str">
        <f>BGPartner_AP</f>
        <v>A. Plichtig</v>
      </c>
      <c r="Y88" s="60" t="str">
        <f>BGPartner_AG</f>
        <v>A. Gerechtigd</v>
      </c>
      <c r="Z88" s="60" t="str">
        <f>BGPartner_AG</f>
        <v>A. Gerechtigd</v>
      </c>
      <c r="AA88" s="1883"/>
      <c r="AF88" s="1951"/>
    </row>
    <row r="89" spans="1:32" x14ac:dyDescent="0.25">
      <c r="A89" s="254">
        <v>55</v>
      </c>
      <c r="B89" s="615" t="s">
        <v>63</v>
      </c>
      <c r="C89" s="1462">
        <v>0</v>
      </c>
      <c r="D89" s="910">
        <f>IF(BG060Jaaropgave1_AP&lt;&gt;0,"zie jaarloon (60)",IF(Basisgegevens!C$38="Maand",C89*12,IF(Basisgegevens!C$38="4 Weken",C89*13,IF(Basisgegevens!C$38="Weekloon",C89*52,0))))</f>
        <v>0</v>
      </c>
      <c r="E89" s="1462">
        <v>0</v>
      </c>
      <c r="F89" s="910">
        <f>IF(BG060Jaaropgave1_AG&lt;&gt;0,"zie jaarloon (60)",IF(Basisgegevens!E$38="Maand",E89*12,IF(Basisgegevens!E$38="4 Weken",E89*13,IF(Basisgegevens!E$38="Weekloon",E89*52,0))))</f>
        <v>0</v>
      </c>
      <c r="G89" s="2740" t="s">
        <v>608</v>
      </c>
      <c r="H89" s="2741"/>
      <c r="I89" s="2741"/>
      <c r="J89" s="2742"/>
      <c r="M89" s="387">
        <v>0</v>
      </c>
      <c r="N89" s="645">
        <f>N81</f>
        <v>6145</v>
      </c>
      <c r="O89" s="955"/>
      <c r="P89" s="689"/>
      <c r="Q89" s="956">
        <v>0</v>
      </c>
      <c r="R89" s="957">
        <v>0</v>
      </c>
      <c r="S89" s="36" t="s">
        <v>121</v>
      </c>
      <c r="X89" s="573">
        <v>0</v>
      </c>
      <c r="Y89" s="573">
        <v>0</v>
      </c>
      <c r="Z89" s="573">
        <v>0</v>
      </c>
      <c r="AA89" s="1883"/>
      <c r="AF89" s="1951"/>
    </row>
    <row r="90" spans="1:32" x14ac:dyDescent="0.25">
      <c r="A90" s="254">
        <v>56</v>
      </c>
      <c r="B90" s="615" t="s">
        <v>262</v>
      </c>
      <c r="C90" s="1971">
        <v>0</v>
      </c>
      <c r="D90" s="910">
        <f>IF(BG060Jaaropgave1_AP&lt;&gt;0,"zie jaarloon (60)",IF(Basisgegevens!C$38="Maand",C90*12,IF(Basisgegevens!C$38="4 Weken",C90*13,IF(Basisgegevens!C$38="Weekloon",C90*52,0))))</f>
        <v>0</v>
      </c>
      <c r="E90" s="1974">
        <v>0</v>
      </c>
      <c r="F90" s="910">
        <f>IF(BG060Jaaropgave1_AG&lt;&gt;0,"zie jaarloon (60)",IF(Basisgegevens!E$38="Maand",E90*12,IF(Basisgegevens!E$38="4 Weken",E90*13,IF(Basisgegevens!E$38="Weekloon",E90*52,0))))</f>
        <v>0</v>
      </c>
      <c r="G90" s="2740" t="s">
        <v>385</v>
      </c>
      <c r="H90" s="2741"/>
      <c r="I90" s="2741"/>
      <c r="J90" s="2742"/>
      <c r="M90" s="575">
        <f>N89</f>
        <v>6145</v>
      </c>
      <c r="N90" s="647">
        <f>N82</f>
        <v>32223</v>
      </c>
      <c r="O90" s="693">
        <v>0</v>
      </c>
      <c r="P90" s="691">
        <v>5.7299999999999997E-2</v>
      </c>
      <c r="Q90" s="586">
        <f>IF(AND(Q$79&gt;$M90,Q$79&lt;=$N90),$O90+$P90*(Q$79-($M90)),0)</f>
        <v>0</v>
      </c>
      <c r="R90" s="586">
        <f>IF(AND(R$79&gt;$M90,R$79&lt;=$N90),$O90+$P90*(R$79-($M90)),0)</f>
        <v>0</v>
      </c>
      <c r="S90" s="926" t="str">
        <f>P90*100&amp;"% x (arbeidsinkomen - € "&amp;N89&amp;")"</f>
        <v>5,73% x (arbeidsinkomen - € 6145)</v>
      </c>
      <c r="X90" s="586">
        <f t="shared" ref="X90:Y90" si="37">IF(AND(X$79&gt;$M90,X$79&lt;=$N90),$O90+$P90*(X$79-($M90)),0)</f>
        <v>0</v>
      </c>
      <c r="Y90" s="586">
        <f t="shared" si="37"/>
        <v>0</v>
      </c>
      <c r="Z90" s="279" t="str">
        <f>IF(AND($Z$79&gt;$M90,$Z$79&lt;=$N90),$P90*($Z$79-($M90-1)),"--")</f>
        <v>--</v>
      </c>
      <c r="AA90" s="1883"/>
      <c r="AF90" s="1951"/>
    </row>
    <row r="91" spans="1:32" ht="15.75" thickBot="1" x14ac:dyDescent="0.3">
      <c r="A91" s="254">
        <v>57</v>
      </c>
      <c r="B91" s="615" t="s">
        <v>510</v>
      </c>
      <c r="C91" s="1971">
        <v>0</v>
      </c>
      <c r="D91" s="910">
        <f>IF(BG060Jaaropgave1_AP&lt;&gt;0,"zie jaarloon (60)",IF(Basisgegevens!C$38="Maand",C91*12,IF(Basisgegevens!C$38="4 Weken",C91*13,IF(Basisgegevens!C$38="Weekloon",C91*52,0))))</f>
        <v>0</v>
      </c>
      <c r="E91" s="1974">
        <v>0</v>
      </c>
      <c r="F91" s="910">
        <f>IF(BG060Jaaropgave1_AG&lt;&gt;0,"zie jaarloon (60)",IF(Basisgegevens!E$38="Maand",E91*12,IF(Basisgegevens!E$38="4 Weken",E91*13,IF(Basisgegevens!E$38="Weekloon",E91*52,0))))</f>
        <v>0</v>
      </c>
      <c r="G91" s="2740"/>
      <c r="H91" s="2741"/>
      <c r="I91" s="2741"/>
      <c r="J91" s="2742"/>
      <c r="M91" s="576">
        <f>N90</f>
        <v>32223</v>
      </c>
      <c r="N91" s="694">
        <v>0</v>
      </c>
      <c r="O91" s="694">
        <v>1495</v>
      </c>
      <c r="P91" s="692"/>
      <c r="Q91" s="958" t="str">
        <f>IF(Q$79&gt;$M91,$O91,"--")</f>
        <v>--</v>
      </c>
      <c r="R91" s="958" t="str">
        <f>IF(R$79&gt;$M91,$O91,"--")</f>
        <v>--</v>
      </c>
      <c r="S91" s="928" t="str">
        <f>"€ "&amp;O91</f>
        <v>€ 1495</v>
      </c>
      <c r="X91" s="958" t="str">
        <f t="shared" ref="X91:Y91" si="38">IF(X$79&gt;$M91,$O91,"--")</f>
        <v>--</v>
      </c>
      <c r="Y91" s="958" t="str">
        <f t="shared" si="38"/>
        <v>--</v>
      </c>
      <c r="Z91" s="574">
        <f>IF($Z$79&gt;$M91,$O91,0)</f>
        <v>0</v>
      </c>
      <c r="AF91" s="1951"/>
    </row>
    <row r="92" spans="1:32" ht="15.75" thickBot="1" x14ac:dyDescent="0.3">
      <c r="A92" s="254" t="s">
        <v>1013</v>
      </c>
      <c r="B92" s="615" t="s">
        <v>1015</v>
      </c>
      <c r="C92" s="1971">
        <v>0</v>
      </c>
      <c r="D92" s="910">
        <f>IF(BG060Jaaropgave1_AP&lt;&gt;0,"zie jaarloon (60)",IF(Basisgegevens!C$38="Maand",C92*12,IF(Basisgegevens!C$38="4 Weken",C92*13,IF(Basisgegevens!C$38="Weekloon",C92*52,0))))</f>
        <v>0</v>
      </c>
      <c r="E92" s="1974">
        <v>0</v>
      </c>
      <c r="F92" s="910">
        <f>IF(BG060Jaaropgave1_AG&lt;&gt;0,"zie jaarloon (60)",IF(Basisgegevens!E$38="Maand",E92*12,IF(Basisgegevens!E$38="4 Weken",E92*13,IF(Basisgegevens!E$38="Weekloon",E92*52,0))))</f>
        <v>0</v>
      </c>
      <c r="G92" s="2740"/>
      <c r="H92" s="2741"/>
      <c r="I92" s="2741"/>
      <c r="J92" s="2742"/>
      <c r="M92" s="2715" t="s">
        <v>116</v>
      </c>
      <c r="N92" s="2719"/>
      <c r="O92" s="2719"/>
      <c r="P92" s="2720"/>
      <c r="Q92" s="388" t="str">
        <f>IF($N$66="Ja",IF(BGAOWLeeftijdBereikt_AP="Nee","zie WERK-tabel",IF(BG_Onderde12_AP="Ja",SUM(Q89:Q91),0)),"n.v.t")</f>
        <v>n.v.t</v>
      </c>
      <c r="R92" s="386" t="str">
        <f>IF($O$66="Ja",IF(BGAOWLeeftijdBereikt_AG="Nee","zie WERK-tabel",IF(BG_Onderde12_AG="Ja",SUM(R89:R91),0)),"n.v.t")</f>
        <v>n.v.t</v>
      </c>
      <c r="X92" s="38" t="str">
        <f>IF($N$66="Ja",IF(BGAOWLeeftijdBereikt_AP="Nee","zie WERK-tabel",SUM(X89:X91)),"n.v.t")</f>
        <v>n.v.t</v>
      </c>
      <c r="Y92" s="386" t="str">
        <f>IF($O$66="Ja",IF(BGAOWLeeftijdBereikt_AG="Nee","zie WERK-tabel",SUM(Y89:Y91)),"n.v.t")</f>
        <v>n.v.t</v>
      </c>
      <c r="Z92" s="386" t="str">
        <f>IF($O$66="Ja",IF(BGAOWLeeftijdBereikt_AG="Nee","zie WERK-tabel",SUM(Z89:Z91)),"n.v.t")</f>
        <v>n.v.t</v>
      </c>
      <c r="AA92" s="1883"/>
      <c r="AF92" s="1951"/>
    </row>
    <row r="93" spans="1:32" ht="15.75" thickBot="1" x14ac:dyDescent="0.3">
      <c r="A93" s="518">
        <v>58</v>
      </c>
      <c r="B93" s="616" t="s">
        <v>263</v>
      </c>
      <c r="C93" s="1201">
        <v>0</v>
      </c>
      <c r="D93" s="211">
        <f>IF(BG060Jaaropgave1_AP&lt;&gt;0,"zie jaarloon (60)",IF(Basisgegevens!C$38="Maand",C93*12,IF(Basisgegevens!C$38="4 Weken",C93*13,IF(Basisgegevens!C$38="Weekloon",C93*52,0))))</f>
        <v>0</v>
      </c>
      <c r="E93" s="325">
        <v>0</v>
      </c>
      <c r="F93" s="211">
        <f>IF(BG060Jaaropgave1_AG&lt;&gt;0,"zie jaarloon (60)",IF(Basisgegevens!E$38="Maand",E93*12,IF(Basisgegevens!E$38="4 Weken",E93*13,IF(Basisgegevens!E$38="Weekloon",E93*52,0))))</f>
        <v>0</v>
      </c>
      <c r="G93" s="2802"/>
      <c r="H93" s="2803"/>
      <c r="I93" s="2803"/>
      <c r="J93" s="2804"/>
      <c r="AF93" s="1951"/>
    </row>
    <row r="94" spans="1:32" ht="15.75" customHeight="1" thickBot="1" x14ac:dyDescent="0.3">
      <c r="M94" s="2209" t="str">
        <f>"Algemene heffingskorting voor "&amp;BGJaarBerekening&amp;" (Werkend)"</f>
        <v>Algemene heffingskorting voor 2025 (Werkend)</v>
      </c>
      <c r="N94" s="11"/>
      <c r="O94" s="16" t="s">
        <v>994</v>
      </c>
      <c r="T94" s="2702" t="str">
        <f>T2</f>
        <v>Belasting t.b.v. kinderalimentatie</v>
      </c>
      <c r="U94" s="2703"/>
      <c r="V94" s="2702" t="str">
        <f>V2</f>
        <v>Belasting arbeid box 1 t.b.v. behoefteberekening</v>
      </c>
      <c r="W94" s="2703"/>
      <c r="X94" s="2702" t="s">
        <v>1051</v>
      </c>
      <c r="Y94" s="2703"/>
      <c r="Z94" s="504" t="s">
        <v>456</v>
      </c>
      <c r="AF94" s="1951"/>
    </row>
    <row r="95" spans="1:32" ht="16.5" customHeight="1" thickBot="1" x14ac:dyDescent="0.3">
      <c r="B95" s="608" t="s">
        <v>591</v>
      </c>
      <c r="C95" s="53" t="str">
        <f>BGPartner_AP</f>
        <v>A. Plichtig</v>
      </c>
      <c r="E95" s="18" t="str">
        <f>BGPartner_AG</f>
        <v>A. Gerechtigd</v>
      </c>
      <c r="L95" s="2">
        <v>115</v>
      </c>
      <c r="M95" s="2"/>
      <c r="N95" s="2"/>
      <c r="O95" s="2"/>
      <c r="S95" s="303" t="s">
        <v>176</v>
      </c>
      <c r="T95" s="2704" t="s">
        <v>455</v>
      </c>
      <c r="U95" s="2705"/>
      <c r="V95" s="2704" t="s">
        <v>455</v>
      </c>
      <c r="W95" s="2705"/>
      <c r="X95" s="2704" t="s">
        <v>455</v>
      </c>
      <c r="Y95" s="2801"/>
      <c r="Z95" s="18" t="s">
        <v>1129</v>
      </c>
      <c r="AF95" s="1951"/>
    </row>
    <row r="96" spans="1:32" ht="15.75" thickBot="1" x14ac:dyDescent="0.3">
      <c r="A96" s="8" t="s">
        <v>223</v>
      </c>
      <c r="B96" s="95" t="s">
        <v>137</v>
      </c>
      <c r="C96" s="23" t="str">
        <f>C55</f>
        <v>Maandloon</v>
      </c>
      <c r="D96" s="18" t="s">
        <v>94</v>
      </c>
      <c r="E96" s="105" t="str">
        <f>E55</f>
        <v>Maandloon</v>
      </c>
      <c r="F96" s="18" t="s">
        <v>285</v>
      </c>
      <c r="G96" s="2755" t="s">
        <v>191</v>
      </c>
      <c r="H96" s="2756"/>
      <c r="I96" s="2756"/>
      <c r="J96" s="2705"/>
      <c r="O96" s="2805" t="s">
        <v>176</v>
      </c>
      <c r="P96" s="2806"/>
      <c r="Q96" s="386">
        <f>ROUND(AL94VerzInkomen_AP,0)</f>
        <v>0</v>
      </c>
      <c r="R96" s="386">
        <f>AL94VerzInkomen_AG</f>
        <v>0</v>
      </c>
      <c r="S96" s="51" t="s">
        <v>177</v>
      </c>
      <c r="T96" s="502">
        <f>'Alimentatie 2025-01'!E129</f>
        <v>0</v>
      </c>
      <c r="U96" s="502">
        <f>'Alimentatie 2025-01'!H129</f>
        <v>0</v>
      </c>
      <c r="V96" s="502">
        <f>'Alimentatie 2025-01'!D129</f>
        <v>0</v>
      </c>
      <c r="W96" s="502">
        <f>Behoefteberekening!F65</f>
        <v>0</v>
      </c>
      <c r="X96" s="502">
        <f>Inkomensvergelijking!C56</f>
        <v>0</v>
      </c>
      <c r="Y96" s="501">
        <f>Inkomensvergelijking!E56</f>
        <v>0</v>
      </c>
      <c r="Z96" s="447">
        <f>Behoefteberekening!F29</f>
        <v>0</v>
      </c>
      <c r="AF96" s="1951"/>
    </row>
    <row r="97" spans="1:32" ht="15.75" thickBot="1" x14ac:dyDescent="0.3">
      <c r="A97" s="255">
        <v>49</v>
      </c>
      <c r="B97" s="613" t="s">
        <v>59</v>
      </c>
      <c r="C97" s="1969">
        <v>0</v>
      </c>
      <c r="D97" s="909">
        <f>IF(BG060Jaaropgave2_AP&lt;&gt;0,"zie jaarloon (60)",IF(Basisgegevens!C$54="Maand",C97*12,IF(Basisgegevens!C$54="4 Weken",C97*13,IF(Basisgegevens!C$54="Weekloon",C97*52,0))))</f>
        <v>0</v>
      </c>
      <c r="E97" s="1972">
        <v>0</v>
      </c>
      <c r="F97" s="909">
        <f>IF(BG060Jaaropgave2_AG&lt;&gt;0,"zie jaarloon (60)",IF(Basisgegevens!E$54="Maand",E97*12,IF(Basisgegevens!E$54="4 Weken",E97*13,IF(Basisgegevens!E$54="Weekloon",E97*52,0))))</f>
        <v>0</v>
      </c>
      <c r="G97" s="2743" t="s">
        <v>409</v>
      </c>
      <c r="H97" s="2744"/>
      <c r="I97" s="2744"/>
      <c r="J97" s="2745"/>
      <c r="M97" s="959" t="s">
        <v>241</v>
      </c>
      <c r="N97" s="960" t="s">
        <v>518</v>
      </c>
      <c r="O97" s="33" t="s">
        <v>115</v>
      </c>
      <c r="P97" s="34" t="s">
        <v>77</v>
      </c>
      <c r="Q97" s="18" t="str">
        <f>BGPartner_AP</f>
        <v>A. Plichtig</v>
      </c>
      <c r="R97" s="18" t="str">
        <f>BGPartner_AG</f>
        <v>A. Gerechtigd</v>
      </c>
      <c r="S97" s="1495" t="s">
        <v>191</v>
      </c>
      <c r="T97" s="18" t="str">
        <f>BGPartner_AP</f>
        <v>A. Plichtig</v>
      </c>
      <c r="U97" s="105" t="str">
        <f>BGPartner_AG</f>
        <v>A. Gerechtigd</v>
      </c>
      <c r="V97" s="18" t="str">
        <f>BGPartner_AP</f>
        <v>A. Plichtig</v>
      </c>
      <c r="W97" s="105" t="str">
        <f>BGPartner_AG</f>
        <v>A. Gerechtigd</v>
      </c>
      <c r="X97" s="18" t="str">
        <f>BGPartner_AP</f>
        <v>A. Plichtig</v>
      </c>
      <c r="Y97" s="105" t="str">
        <f>BGPartner_AG</f>
        <v>A. Gerechtigd</v>
      </c>
      <c r="Z97" s="18" t="str">
        <f>BGPartner_AG</f>
        <v>A. Gerechtigd</v>
      </c>
      <c r="AF97" s="1951"/>
    </row>
    <row r="98" spans="1:32" x14ac:dyDescent="0.25">
      <c r="A98" s="255">
        <v>51</v>
      </c>
      <c r="B98" s="614" t="s">
        <v>224</v>
      </c>
      <c r="C98" s="1970">
        <v>0</v>
      </c>
      <c r="D98" s="909">
        <f>IF(BG060Jaaropgave2_AP&lt;&gt;0,"zie jaarloon (60)",IF(Basisgegevens!C$54="Maand",C98*12,IF(Basisgegevens!C$54="4 Weken",C98*13,IF(Basisgegevens!C$54="Weekloon",C98*52,0))))</f>
        <v>0</v>
      </c>
      <c r="E98" s="1973">
        <v>0</v>
      </c>
      <c r="F98" s="909">
        <f>IF(BG060Jaaropgave2_AG&lt;&gt;0,"zie jaarloon (60)",IF(Basisgegevens!E$54="Maand",E98*12,IF(Basisgegevens!E$54="4 Weken",E98*13,IF(Basisgegevens!E$54="Weekloon",E98*52,0))))</f>
        <v>0</v>
      </c>
      <c r="G98" s="2740" t="s">
        <v>409</v>
      </c>
      <c r="H98" s="2741"/>
      <c r="I98" s="2741"/>
      <c r="J98" s="2742"/>
      <c r="M98" s="387">
        <v>0</v>
      </c>
      <c r="N98" s="654">
        <v>28406</v>
      </c>
      <c r="O98" s="955">
        <v>3068</v>
      </c>
      <c r="P98" s="689"/>
      <c r="Q98" s="464" t="str">
        <f>IF(AND(Q$96&lt;&gt;$M98,Q$96&lt;=$N98),$O98,"--")</f>
        <v>--</v>
      </c>
      <c r="R98" s="464" t="str">
        <f>IF(AND(R$96&lt;&gt;$M98,R$96&lt;=$N98),$O98,"--")</f>
        <v>--</v>
      </c>
      <c r="S98" s="2107"/>
      <c r="T98" s="464" t="str">
        <f t="shared" ref="T98:Y98" si="39">IF(AND(T$96&lt;&gt;$M98,T$96&lt;=$N98),$O98,"--")</f>
        <v>--</v>
      </c>
      <c r="U98" s="464" t="str">
        <f t="shared" si="39"/>
        <v>--</v>
      </c>
      <c r="V98" s="464" t="str">
        <f t="shared" si="39"/>
        <v>--</v>
      </c>
      <c r="W98" s="464" t="str">
        <f t="shared" si="39"/>
        <v>--</v>
      </c>
      <c r="X98" s="464" t="str">
        <f t="shared" si="39"/>
        <v>--</v>
      </c>
      <c r="Y98" s="464" t="str">
        <f t="shared" si="39"/>
        <v>--</v>
      </c>
      <c r="Z98" s="578" t="str">
        <f>IF(AND($Z$96&lt;&gt;$M98,$Z$96&lt;=$N98),$O98,"--")</f>
        <v>--</v>
      </c>
      <c r="AF98" s="1951"/>
    </row>
    <row r="99" spans="1:32" x14ac:dyDescent="0.25">
      <c r="A99" s="254">
        <v>52</v>
      </c>
      <c r="B99" s="615" t="s">
        <v>260</v>
      </c>
      <c r="C99" s="1971">
        <v>0</v>
      </c>
      <c r="D99" s="910">
        <f>IF(BG060Jaaropgave2_AP&lt;&gt;0,"zie jaarloon (60)",IF(Basisgegevens!C$54="Maand",C99*12,IF(Basisgegevens!C$54="4 Weken",C99*13,IF(Basisgegevens!C$54="Weekloon",C99*52,0))))</f>
        <v>0</v>
      </c>
      <c r="E99" s="1974">
        <v>0</v>
      </c>
      <c r="F99" s="910">
        <f>IF(BG060Jaaropgave2_AG&lt;&gt;0,"zie jaarloon (60)",IF(Basisgegevens!E$54="Maand",E99*12,IF(Basisgegevens!E$54="4 Weken",E99*13,IF(Basisgegevens!E$54="Weekloon",E99*52,0))))</f>
        <v>0</v>
      </c>
      <c r="G99" s="2740" t="s">
        <v>409</v>
      </c>
      <c r="H99" s="2741"/>
      <c r="I99" s="2741"/>
      <c r="J99" s="2742"/>
      <c r="M99" s="575">
        <f>N98</f>
        <v>28406</v>
      </c>
      <c r="N99" s="648">
        <v>76817</v>
      </c>
      <c r="O99" s="693">
        <v>0</v>
      </c>
      <c r="P99" s="691">
        <v>6.3369999999999996E-2</v>
      </c>
      <c r="Q99" s="465" t="str">
        <f>IF(AND(Q$96&gt;$M99,Q$96&lt;=$N99),($O98-($P99*(Q$96-($M99)))),"--")</f>
        <v>--</v>
      </c>
      <c r="R99" s="465" t="str">
        <f>IF(AND(R$96&gt;$M99,R$96&lt;=$N99),($O98-($P99*(R$96-($M99)))),"--")</f>
        <v>--</v>
      </c>
      <c r="S99" s="926" t="str">
        <f>"€ "&amp;O98&amp;" - "&amp;P99*100&amp;"% x (belastbaar inkomen - € "&amp;N98&amp;")"</f>
        <v>€ 3068 - 6,337% x (belastbaar inkomen - € 28406)</v>
      </c>
      <c r="T99" s="465" t="str">
        <f t="shared" ref="T99:Y99" si="40">IF(AND(T$96&gt;$M99,T$96&lt;=$N99),($O98-($P99*(T$96-($M99)))),"--")</f>
        <v>--</v>
      </c>
      <c r="U99" s="465" t="str">
        <f t="shared" si="40"/>
        <v>--</v>
      </c>
      <c r="V99" s="465" t="str">
        <f t="shared" si="40"/>
        <v>--</v>
      </c>
      <c r="W99" s="465" t="str">
        <f t="shared" si="40"/>
        <v>--</v>
      </c>
      <c r="X99" s="465" t="str">
        <f t="shared" si="40"/>
        <v>--</v>
      </c>
      <c r="Y99" s="465" t="str">
        <f t="shared" si="40"/>
        <v>--</v>
      </c>
      <c r="Z99" s="579" t="str">
        <f>IF(AND($Z$96&gt;$M99,$Z$96&lt;=$N99),($O98-($P99*($Z$96-($M99-1)))),"--")</f>
        <v>--</v>
      </c>
      <c r="AF99" s="1951"/>
    </row>
    <row r="100" spans="1:32" ht="15.75" thickBot="1" x14ac:dyDescent="0.3">
      <c r="A100" s="254">
        <v>53</v>
      </c>
      <c r="B100" s="615" t="s">
        <v>261</v>
      </c>
      <c r="C100" s="1971">
        <v>0</v>
      </c>
      <c r="D100" s="910">
        <f>IF(BG060Jaaropgave2_AP&lt;&gt;0,"zie jaarloon (60)",IF(Basisgegevens!C$54="Maand",C100*12,IF(Basisgegevens!C$54="4 Weken",C100*13,IF(Basisgegevens!C$54="Weekloon",C100*52,0))))</f>
        <v>0</v>
      </c>
      <c r="E100" s="1974">
        <v>0</v>
      </c>
      <c r="F100" s="910">
        <f>IF(BG060Jaaropgave2_AG&lt;&gt;0,"zie jaarloon (60)",IF(Basisgegevens!E$54="Maand",E100*12,IF(Basisgegevens!E$54="4 Weken",E100*13,IF(Basisgegevens!E$54="Weekloon",E100*52,0))))</f>
        <v>0</v>
      </c>
      <c r="G100" s="2740" t="s">
        <v>384</v>
      </c>
      <c r="H100" s="2741"/>
      <c r="I100" s="2741"/>
      <c r="J100" s="2742"/>
      <c r="L100" s="17"/>
      <c r="M100" s="576">
        <f>N99</f>
        <v>76817</v>
      </c>
      <c r="N100" s="694">
        <v>0</v>
      </c>
      <c r="O100" s="694">
        <v>0</v>
      </c>
      <c r="P100" s="692"/>
      <c r="Q100" s="577">
        <v>0</v>
      </c>
      <c r="R100" s="577">
        <v>0</v>
      </c>
      <c r="S100" s="2106"/>
      <c r="T100" s="580">
        <v>0</v>
      </c>
      <c r="U100" s="580">
        <v>0</v>
      </c>
      <c r="V100" s="580">
        <v>0</v>
      </c>
      <c r="W100" s="580">
        <v>0</v>
      </c>
      <c r="X100" s="580">
        <v>0</v>
      </c>
      <c r="Y100" s="580">
        <v>0</v>
      </c>
      <c r="Z100" s="580">
        <v>0</v>
      </c>
      <c r="AF100" s="1951"/>
    </row>
    <row r="101" spans="1:32" ht="15.75" thickBot="1" x14ac:dyDescent="0.3">
      <c r="A101" s="254">
        <v>55</v>
      </c>
      <c r="B101" s="615" t="s">
        <v>63</v>
      </c>
      <c r="C101" s="1462">
        <v>0</v>
      </c>
      <c r="D101" s="910">
        <f>IF(BG060Jaaropgave2_AP&lt;&gt;0,"zie jaarloon (60)",IF(Basisgegevens!C$54="Maand",C101*12,IF(Basisgegevens!C$54="4 Weken",C101*13,IF(Basisgegevens!C$54="Weekloon",C101*52,0))))</f>
        <v>0</v>
      </c>
      <c r="E101" s="1462">
        <v>0</v>
      </c>
      <c r="F101" s="910">
        <f>IF(BG060Jaaropgave2_AG&lt;&gt;0,"zie jaarloon (60)",IF(Basisgegevens!E$54="Maand",E101*12,IF(Basisgegevens!E$54="4 Weken",E101*13,IF(Basisgegevens!E$54="Weekloon",E101*52,0))))</f>
        <v>0</v>
      </c>
      <c r="G101" s="2740" t="s">
        <v>608</v>
      </c>
      <c r="H101" s="2741"/>
      <c r="I101" s="2741"/>
      <c r="J101" s="2742"/>
      <c r="M101" s="2715" t="s">
        <v>116</v>
      </c>
      <c r="N101" s="2716"/>
      <c r="O101" s="2716"/>
      <c r="P101" s="2716"/>
      <c r="Q101" s="386">
        <f>IF(BGAOWLeeftijdBereikt_AP="Ja","Zie AOW-tabel",SUM(Q98:Q100))</f>
        <v>0</v>
      </c>
      <c r="R101" s="386">
        <f>IF(BGAOWLeeftijdBereikt_AG="Ja","Zie AOW-tabel",SUM(R98:R100))</f>
        <v>0</v>
      </c>
      <c r="S101" s="2105"/>
      <c r="T101" s="386">
        <f>IF(BGAOWLeeftijdBereikt_AP="Ja","Zie AOW-tabel",SUM(T98:T100))</f>
        <v>0</v>
      </c>
      <c r="U101" s="386">
        <f>IF(BGAOWLeeftijdBereikt_AG="Ja","Zie AOW-tabel",SUM(U98:U100))</f>
        <v>0</v>
      </c>
      <c r="V101" s="2546">
        <f>IF(BGAOWLeeftijdBereikt_AP="Ja","Zie AOW-tabel",SUM(V98:V100))</f>
        <v>0</v>
      </c>
      <c r="W101" s="2546">
        <f>IF(BGAOWLeeftijdBereikt_AG="Ja","Zie AOW-tabel",SUM(W98:W100))</f>
        <v>0</v>
      </c>
      <c r="X101" s="386">
        <f>IF(BGAOWLeeftijdBereikt_AP="Ja","Zie AOW-tabel",SUM(X98:X100))</f>
        <v>0</v>
      </c>
      <c r="Y101" s="386">
        <f>IF(BGAOWLeeftijdBereikt_AG="Ja","Zie AOW-tabel",SUM(Y98:Y100))</f>
        <v>0</v>
      </c>
      <c r="Z101" s="386">
        <f>IF(BGAOWLeeftijdBereikt_AG="Ja","Zie AOW-tabel",SUM(Z98:Z100))</f>
        <v>0</v>
      </c>
      <c r="AF101" s="1951"/>
    </row>
    <row r="102" spans="1:32" x14ac:dyDescent="0.25">
      <c r="A102" s="254">
        <v>56</v>
      </c>
      <c r="B102" s="615" t="s">
        <v>262</v>
      </c>
      <c r="C102" s="1971">
        <v>0</v>
      </c>
      <c r="D102" s="910">
        <f>IF(BG060Jaaropgave2_AP&lt;&gt;0,"zie jaarloon (60)",IF(Basisgegevens!C$54="Maand",C102*12,IF(Basisgegevens!C$54="4 Weken",C102*13,IF(Basisgegevens!C$54="Weekloon",C102*52,0))))</f>
        <v>0</v>
      </c>
      <c r="E102" s="1974">
        <v>0</v>
      </c>
      <c r="F102" s="910">
        <f>IF(BG060Jaaropgave2_AG&lt;&gt;0,"zie jaarloon (60)",IF(Basisgegevens!E$54="Maand",E102*12,IF(Basisgegevens!E$54="4 Weken",E102*13,IF(Basisgegevens!E$54="Weekloon",E102*52,0))))</f>
        <v>0</v>
      </c>
      <c r="G102" s="2740" t="s">
        <v>385</v>
      </c>
      <c r="H102" s="2741"/>
      <c r="I102" s="2741"/>
      <c r="J102" s="2742"/>
      <c r="R102" s="2"/>
      <c r="AF102" s="1951"/>
    </row>
    <row r="103" spans="1:32" ht="15.75" customHeight="1" thickBot="1" x14ac:dyDescent="0.3">
      <c r="A103" s="254">
        <v>57</v>
      </c>
      <c r="B103" s="615" t="s">
        <v>510</v>
      </c>
      <c r="C103" s="1971">
        <v>0</v>
      </c>
      <c r="D103" s="910">
        <f>IF(BG060Jaaropgave2_AP&lt;&gt;0,"zie jaarloon (60)",IF(Basisgegevens!C$54="Maand",C103*12,IF(Basisgegevens!C$54="4 Weken",C103*13,IF(Basisgegevens!C$54="Weekloon",C103*52,0))))</f>
        <v>0</v>
      </c>
      <c r="E103" s="1974">
        <v>0</v>
      </c>
      <c r="F103" s="910">
        <f>IF(BG060Jaaropgave2_AG&lt;&gt;0,"zie jaarloon (60)",IF(Basisgegevens!E$54="Maand",E103*12,IF(Basisgegevens!E$54="4 Weken",E103*13,IF(Basisgegevens!E$54="Weekloon",E103*52,0))))</f>
        <v>0</v>
      </c>
      <c r="G103" s="2740"/>
      <c r="H103" s="2741"/>
      <c r="I103" s="2741"/>
      <c r="J103" s="2742"/>
      <c r="N103" s="87"/>
      <c r="Q103" s="87"/>
      <c r="R103" s="104"/>
      <c r="AF103" s="1951"/>
    </row>
    <row r="104" spans="1:32" ht="15.75" customHeight="1" thickBot="1" x14ac:dyDescent="0.3">
      <c r="A104" s="254" t="s">
        <v>1013</v>
      </c>
      <c r="B104" s="615" t="s">
        <v>1015</v>
      </c>
      <c r="C104" s="1971">
        <v>0</v>
      </c>
      <c r="D104" s="910">
        <f>IF(BG060Jaaropgave2_AP&lt;&gt;0,"zie jaarloon (60)",IF(Basisgegevens!C$54="Maand",C104*12,IF(Basisgegevens!C$54="4 Weken",C104*13,IF(Basisgegevens!C$54="Weekloon",C104*52,0))))</f>
        <v>0</v>
      </c>
      <c r="E104" s="1974">
        <v>0</v>
      </c>
      <c r="F104" s="910">
        <f>IF(BG060Jaaropgave2_AG&lt;&gt;0,"zie jaarloon (60)",IF(Basisgegevens!E$54="Maand",E104*12,IF(Basisgegevens!E$54="4 Weken",E104*13,IF(Basisgegevens!E$54="Weekloon",E104*52,0))))</f>
        <v>0</v>
      </c>
      <c r="G104" s="2740"/>
      <c r="H104" s="2741"/>
      <c r="I104" s="2741"/>
      <c r="J104" s="2742"/>
      <c r="L104" s="2">
        <v>115</v>
      </c>
      <c r="M104" s="2209" t="str">
        <f>"Algemene heffingskorting voor "&amp;BGJaarBerekening&amp;" (AOW-er)"</f>
        <v>Algemene heffingskorting voor 2025 (AOW-er)</v>
      </c>
      <c r="N104" s="11"/>
      <c r="O104" s="16"/>
      <c r="T104" s="2702" t="str">
        <f>T2</f>
        <v>Belasting t.b.v. kinderalimentatie</v>
      </c>
      <c r="U104" s="2703"/>
      <c r="V104" s="2702" t="str">
        <f>V2</f>
        <v>Belasting arbeid box 1 t.b.v. behoefteberekening</v>
      </c>
      <c r="W104" s="2703"/>
      <c r="X104" s="2702" t="s">
        <v>1051</v>
      </c>
      <c r="Y104" s="2703"/>
      <c r="Z104" s="504" t="s">
        <v>456</v>
      </c>
      <c r="AF104" s="1951"/>
    </row>
    <row r="105" spans="1:32" ht="15.75" thickBot="1" x14ac:dyDescent="0.3">
      <c r="A105" s="518">
        <v>58</v>
      </c>
      <c r="B105" s="616" t="s">
        <v>263</v>
      </c>
      <c r="C105" s="1201">
        <v>0</v>
      </c>
      <c r="D105" s="211">
        <f>IF(BG060Jaaropgave2_AP&lt;&gt;0,"zie jaarloon (60)",IF(Basisgegevens!C$54="Maand",C105*12,IF(Basisgegevens!C$54="4 Weken",C105*13,IF(Basisgegevens!C$54="Weekloon",C105*52,0))))</f>
        <v>0</v>
      </c>
      <c r="E105" s="325">
        <v>0</v>
      </c>
      <c r="F105" s="211">
        <f>IF(BG060Jaaropgave2_AG&lt;&gt;0,"zie jaarloon (60)",IF(Basisgegevens!E$54="Maand",E105*12,IF(Basisgegevens!E$54="4 Weken",E105*13,IF(Basisgegevens!E$54="Weekloon",E105*52,0))))</f>
        <v>0</v>
      </c>
      <c r="G105" s="2802"/>
      <c r="H105" s="2803"/>
      <c r="I105" s="2803"/>
      <c r="J105" s="2804"/>
      <c r="O105" s="303"/>
      <c r="P105" s="303"/>
      <c r="Q105" s="135"/>
      <c r="R105" s="135"/>
      <c r="S105" s="51"/>
      <c r="T105" s="2704" t="s">
        <v>455</v>
      </c>
      <c r="U105" s="2705"/>
      <c r="V105" s="2704" t="s">
        <v>455</v>
      </c>
      <c r="W105" s="2705"/>
      <c r="X105" s="2704" t="s">
        <v>455</v>
      </c>
      <c r="Y105" s="2705"/>
      <c r="Z105" s="18" t="s">
        <v>441</v>
      </c>
      <c r="AF105" s="1951"/>
    </row>
    <row r="106" spans="1:32" ht="15.75" thickBot="1" x14ac:dyDescent="0.3">
      <c r="M106" s="959" t="s">
        <v>241</v>
      </c>
      <c r="N106" s="960" t="s">
        <v>518</v>
      </c>
      <c r="O106" s="6" t="s">
        <v>115</v>
      </c>
      <c r="P106" s="48" t="s">
        <v>77</v>
      </c>
      <c r="Q106" s="23" t="str">
        <f>BGPartner_AP</f>
        <v>A. Plichtig</v>
      </c>
      <c r="R106" s="18" t="str">
        <f>BGPartner_AG</f>
        <v>A. Gerechtigd</v>
      </c>
      <c r="S106" s="1494" t="s">
        <v>191</v>
      </c>
      <c r="T106" s="50" t="str">
        <f>BGPartner_AP</f>
        <v>A. Plichtig</v>
      </c>
      <c r="U106" s="50" t="str">
        <f>BGPartner_AG</f>
        <v>A. Gerechtigd</v>
      </c>
      <c r="V106" s="50" t="str">
        <f>BGPartner_AP</f>
        <v>A. Plichtig</v>
      </c>
      <c r="W106" s="50" t="str">
        <f>BGPartner_AG</f>
        <v>A. Gerechtigd</v>
      </c>
      <c r="X106" s="50" t="str">
        <f>BGPartner_AP</f>
        <v>A. Plichtig</v>
      </c>
      <c r="Y106" s="50" t="str">
        <f>BGPartner_AG</f>
        <v>A. Gerechtigd</v>
      </c>
      <c r="Z106" s="18" t="str">
        <f>BGPartner_AG</f>
        <v>A. Gerechtigd</v>
      </c>
      <c r="AF106" s="1951"/>
    </row>
    <row r="107" spans="1:32" ht="15.75" thickBot="1" x14ac:dyDescent="0.3">
      <c r="B107" s="799" t="s">
        <v>550</v>
      </c>
      <c r="C107" s="53" t="str">
        <f>BGPartner_AP</f>
        <v>A. Plichtig</v>
      </c>
      <c r="E107" s="18" t="str">
        <f>BGPartner_AG</f>
        <v>A. Gerechtigd</v>
      </c>
      <c r="M107" s="387">
        <v>0</v>
      </c>
      <c r="N107" s="645">
        <f>N98</f>
        <v>28406</v>
      </c>
      <c r="O107" s="955">
        <v>1536</v>
      </c>
      <c r="P107" s="689"/>
      <c r="Q107" s="464" t="str">
        <f>IF(AND(Q$96&lt;&gt;$M107,Q$96&lt;=$N107),$O107,"--")</f>
        <v>--</v>
      </c>
      <c r="R107" s="464" t="str">
        <f>IF(AND(R$96&lt;&gt;$M107,R$96&lt;=$N107),$O107,"--")</f>
        <v>--</v>
      </c>
      <c r="S107" s="2107"/>
      <c r="T107" s="464" t="str">
        <f>IF(AND(T$96&lt;&gt;$M107,T$96&lt;=$N107),$O107,"--")</f>
        <v>--</v>
      </c>
      <c r="U107" s="464" t="str">
        <f>IF(AND(U$96&lt;&gt;$M107,U$96&lt;=$N107),$O107,"--")</f>
        <v>--</v>
      </c>
      <c r="V107" s="464" t="str">
        <f>IF(AND(V$96&lt;&gt;$M107,V$96&lt;=$N107),$O107,"--")</f>
        <v>--</v>
      </c>
      <c r="W107" s="464" t="str">
        <f>IF(AND(W$96&lt;&gt;$M107,W$96&lt;=$N107),$O107,"--")</f>
        <v>--</v>
      </c>
      <c r="X107" s="464" t="str">
        <f>IF(AND($X$96&lt;&gt;$M107,$X$96&lt;=$N107),$O107,"--")</f>
        <v>--</v>
      </c>
      <c r="Y107" s="464" t="str">
        <f>IF(AND($Y$96&lt;&gt;$M107,$Y$96&lt;=$N107),$O107,"--")</f>
        <v>--</v>
      </c>
      <c r="Z107" s="578" t="str">
        <f>IF(AND($Z$96&lt;&gt;$M107,$Z$96&lt;=$N107),$O107,"--")</f>
        <v>--</v>
      </c>
      <c r="AF107" s="1951"/>
    </row>
    <row r="108" spans="1:32" ht="15.75" thickBot="1" x14ac:dyDescent="0.3">
      <c r="A108" s="8" t="s">
        <v>223</v>
      </c>
      <c r="B108" s="95" t="s">
        <v>137</v>
      </c>
      <c r="C108" s="18" t="s">
        <v>55</v>
      </c>
      <c r="D108" s="105" t="s">
        <v>94</v>
      </c>
      <c r="E108" s="23" t="s">
        <v>55</v>
      </c>
      <c r="F108" s="18" t="s">
        <v>285</v>
      </c>
      <c r="G108" s="2755" t="s">
        <v>191</v>
      </c>
      <c r="H108" s="2756"/>
      <c r="I108" s="2756"/>
      <c r="J108" s="2705"/>
      <c r="M108" s="575">
        <f>N107</f>
        <v>28406</v>
      </c>
      <c r="N108" s="647">
        <f>N99</f>
        <v>76817</v>
      </c>
      <c r="O108" s="693">
        <v>0</v>
      </c>
      <c r="P108" s="691">
        <v>3.1699999999999999E-2</v>
      </c>
      <c r="Q108" s="465" t="str">
        <f>IF(AND(Q$96&gt;$M108,Q$96&lt;=$N108),($O107-($P108*(Q$96-($M108)))),"--")</f>
        <v>--</v>
      </c>
      <c r="R108" s="465" t="str">
        <f>IF(AND(R$96&gt;$M108,R$96&lt;=$N108),($O107-($P108*(R$96-($M108)))),"--")</f>
        <v>--</v>
      </c>
      <c r="S108" s="926" t="str">
        <f>"€ "&amp;O107&amp;" - "&amp;P108*100&amp;"% x (belastbaar inkomen - € "&amp;N107&amp;")"</f>
        <v>€ 1536 - 3,17% x (belastbaar inkomen - € 28406)</v>
      </c>
      <c r="T108" s="465" t="str">
        <f>IF(AND(T$96&gt;$M108,T$96&lt;=$N108),($O107-($P108*(T$96-($M108)))),"--")</f>
        <v>--</v>
      </c>
      <c r="U108" s="465" t="str">
        <f>IF(AND(U$96&gt;$M108,U$96&lt;=$N108),($O107-($P108*(U$96-($M108)))),"--")</f>
        <v>--</v>
      </c>
      <c r="V108" s="465" t="str">
        <f>IF(AND(V$96&gt;$M108,V$96&lt;=$N108),($O107-($P108*(V$96-($M108)))),"--")</f>
        <v>--</v>
      </c>
      <c r="W108" s="465" t="str">
        <f>IF(AND(W$96&gt;$M108,W$96&lt;=$N108),($O107-($P108*(W$96-($M108)))),"--")</f>
        <v>--</v>
      </c>
      <c r="X108" s="465" t="str">
        <f>IF(AND(X$96&gt;$M108,X$96&lt;=$N108),($O107-($P108*(X$96-($M108)))),"--")</f>
        <v>--</v>
      </c>
      <c r="Y108" s="465" t="str">
        <f>IF(AND($Y$96&gt;$M108,$Y$96&lt;=$N108),($O107-($P108*($Y$96-($M108-1)))),"--")</f>
        <v>--</v>
      </c>
      <c r="Z108" s="579" t="str">
        <f>IF(AND($Z$96&gt;$M108,$Z$96&lt;=$N108),($O107-($P108*($Z$96-($M108-1)))),"--")</f>
        <v>--</v>
      </c>
      <c r="AF108" s="1951"/>
    </row>
    <row r="109" spans="1:32" ht="15.75" thickBot="1" x14ac:dyDescent="0.3">
      <c r="A109" s="255">
        <v>49</v>
      </c>
      <c r="B109" s="613" t="s">
        <v>59</v>
      </c>
      <c r="C109" s="787">
        <f t="shared" ref="C109:C117" si="41">C85+C97</f>
        <v>0</v>
      </c>
      <c r="D109" s="909">
        <f t="shared" ref="D109:D117" si="42">IF(AND(BG060Jaaropgave1_AP&lt;&gt;0,BG060Jaaropgave2_AP&lt;&gt;0),"zie jaarloon (60)",IF(AND(BG060Jaaropgave1_AP&lt;&gt;0,BG060Jaaropgave2_AP=0),D97,IF(AND(BG060Jaaropgave1_AP=0,BG060Jaaropgave2_AP&lt;&gt;0),D85,D85+D97)))</f>
        <v>0</v>
      </c>
      <c r="E109" s="787">
        <f t="shared" ref="E109:E117" si="43">E85+E97</f>
        <v>0</v>
      </c>
      <c r="F109" s="909">
        <f t="shared" ref="F109:F117" si="44">IF(AND(BG060Jaaropgave1_AG&lt;&gt;0,BG060Jaaropgave2_AG&lt;&gt;0),"zie jaarloon (60)",IF(AND(BG060Jaaropgave1_AG&lt;&gt;0,BG060Jaaropgave2_AG=0),F97,IF(AND(BG060Jaaropgave1_AG=0,BG060Jaaropgave2_AG&lt;&gt;0),F85,F85+F97)))</f>
        <v>0</v>
      </c>
      <c r="G109" s="2743" t="s">
        <v>923</v>
      </c>
      <c r="H109" s="2744"/>
      <c r="I109" s="2744"/>
      <c r="J109" s="2745"/>
      <c r="L109" s="17"/>
      <c r="M109" s="576">
        <f>N108</f>
        <v>76817</v>
      </c>
      <c r="N109" s="694">
        <v>0</v>
      </c>
      <c r="O109" s="694">
        <v>0</v>
      </c>
      <c r="P109" s="692"/>
      <c r="Q109" s="577">
        <v>0</v>
      </c>
      <c r="R109" s="577">
        <v>0</v>
      </c>
      <c r="S109" s="2106"/>
      <c r="T109" s="580">
        <v>0</v>
      </c>
      <c r="U109" s="580">
        <v>0</v>
      </c>
      <c r="V109" s="580">
        <v>0</v>
      </c>
      <c r="W109" s="580">
        <v>0</v>
      </c>
      <c r="X109" s="580">
        <v>0</v>
      </c>
      <c r="Y109" s="580">
        <v>0</v>
      </c>
      <c r="Z109" s="580">
        <v>0</v>
      </c>
      <c r="AF109" s="1951"/>
    </row>
    <row r="110" spans="1:32" ht="15.75" thickBot="1" x14ac:dyDescent="0.3">
      <c r="A110" s="255">
        <v>51</v>
      </c>
      <c r="B110" s="614" t="s">
        <v>224</v>
      </c>
      <c r="C110" s="787">
        <f t="shared" si="41"/>
        <v>0</v>
      </c>
      <c r="D110" s="909">
        <f t="shared" si="42"/>
        <v>0</v>
      </c>
      <c r="E110" s="787">
        <f t="shared" si="43"/>
        <v>0</v>
      </c>
      <c r="F110" s="909">
        <f t="shared" si="44"/>
        <v>0</v>
      </c>
      <c r="G110" s="2740" t="s">
        <v>923</v>
      </c>
      <c r="H110" s="2741"/>
      <c r="I110" s="2741"/>
      <c r="J110" s="2742"/>
      <c r="M110" s="2715" t="s">
        <v>116</v>
      </c>
      <c r="N110" s="2716"/>
      <c r="O110" s="2716"/>
      <c r="P110" s="2716"/>
      <c r="Q110" s="472" t="str">
        <f>IF(BGAOWLeeftijdBereikt_AP="Nee","Zie WERK-tabel",SUM(Q107:Q109))</f>
        <v>Zie WERK-tabel</v>
      </c>
      <c r="R110" s="386" t="str">
        <f>IF(BGAOWLeeftijdBereikt_AG="Nee","Zie WERK-tabel",SUM(R107:R109))</f>
        <v>Zie WERK-tabel</v>
      </c>
      <c r="S110" s="2111"/>
      <c r="T110" s="386" t="str">
        <f>IF(BGAOWLeeftijdBereikt_AP="Nee","Zie WERK-tabel",SUM(T107:T109))</f>
        <v>Zie WERK-tabel</v>
      </c>
      <c r="U110" s="386" t="str">
        <f>IF(BGAOWLeeftijdBereikt_AG="Nee","Zie WERK-tabel",SUM(U107:U109))</f>
        <v>Zie WERK-tabel</v>
      </c>
      <c r="V110" s="386" t="str">
        <f>IF(BGAOWLeeftijdBereikt_AP="Nee","Zie WERK-tabel",SUM(V107:V109))</f>
        <v>Zie WERK-tabel</v>
      </c>
      <c r="W110" s="386" t="str">
        <f>IF(BGAOWLeeftijdBereikt_AG="Nee","Zie WERK-tabel",SUM(W107:W109))</f>
        <v>Zie WERK-tabel</v>
      </c>
      <c r="X110" s="386" t="str">
        <f>IF(BGAOWLeeftijdBereikt_AP="Nee","Zie WERK-tabel",SUM(X107:X109))</f>
        <v>Zie WERK-tabel</v>
      </c>
      <c r="Y110" s="386" t="str">
        <f>IF(BGAOWLeeftijdBereikt_AG="Nee","Zie WERK-tabel",SUM(Y107:Y109))</f>
        <v>Zie WERK-tabel</v>
      </c>
      <c r="Z110" s="386" t="str">
        <f>IF(BGAOWLeeftijdBereikt_AG="Nee","Zie WERK-tabel",SUM(Z107:Z109))</f>
        <v>Zie WERK-tabel</v>
      </c>
      <c r="AF110" s="1951"/>
    </row>
    <row r="111" spans="1:32" x14ac:dyDescent="0.25">
      <c r="A111" s="254">
        <v>52</v>
      </c>
      <c r="B111" s="615" t="s">
        <v>260</v>
      </c>
      <c r="C111" s="800">
        <f t="shared" si="41"/>
        <v>0</v>
      </c>
      <c r="D111" s="910">
        <f t="shared" si="42"/>
        <v>0</v>
      </c>
      <c r="E111" s="800">
        <f t="shared" si="43"/>
        <v>0</v>
      </c>
      <c r="F111" s="909">
        <f t="shared" si="44"/>
        <v>0</v>
      </c>
      <c r="G111" s="2740" t="s">
        <v>923</v>
      </c>
      <c r="H111" s="2741"/>
      <c r="I111" s="2741"/>
      <c r="J111" s="2742"/>
      <c r="R111" s="2"/>
      <c r="AF111" s="1951"/>
    </row>
    <row r="112" spans="1:32" x14ac:dyDescent="0.25">
      <c r="A112" s="254">
        <v>53</v>
      </c>
      <c r="B112" s="615" t="s">
        <v>261</v>
      </c>
      <c r="C112" s="800">
        <f t="shared" si="41"/>
        <v>0</v>
      </c>
      <c r="D112" s="910">
        <f t="shared" si="42"/>
        <v>0</v>
      </c>
      <c r="E112" s="800">
        <f t="shared" si="43"/>
        <v>0</v>
      </c>
      <c r="F112" s="909">
        <f t="shared" si="44"/>
        <v>0</v>
      </c>
      <c r="G112" s="2740" t="s">
        <v>923</v>
      </c>
      <c r="H112" s="2741"/>
      <c r="I112" s="2741"/>
      <c r="J112" s="2742"/>
      <c r="R112" s="2"/>
      <c r="AF112" s="1951"/>
    </row>
    <row r="113" spans="1:32" ht="15" customHeight="1" thickBot="1" x14ac:dyDescent="0.3">
      <c r="A113" s="254">
        <v>55</v>
      </c>
      <c r="B113" s="615" t="s">
        <v>63</v>
      </c>
      <c r="C113" s="800">
        <f t="shared" si="41"/>
        <v>0</v>
      </c>
      <c r="D113" s="910">
        <f t="shared" si="42"/>
        <v>0</v>
      </c>
      <c r="E113" s="800">
        <f t="shared" si="43"/>
        <v>0</v>
      </c>
      <c r="F113" s="909">
        <f t="shared" si="44"/>
        <v>0</v>
      </c>
      <c r="G113" s="2740" t="s">
        <v>923</v>
      </c>
      <c r="H113" s="2741"/>
      <c r="I113" s="2741"/>
      <c r="J113" s="2742"/>
      <c r="L113" s="2">
        <v>115</v>
      </c>
      <c r="M113" s="20" t="str">
        <f>"Arbeidskorting "&amp;BGJaarBerekening&amp;" (Werkend)"</f>
        <v>Arbeidskorting 2025 (Werkend)</v>
      </c>
      <c r="N113" s="21"/>
      <c r="O113" s="16" t="s">
        <v>995</v>
      </c>
      <c r="P113" s="2"/>
      <c r="Q113" s="2"/>
      <c r="R113" s="2"/>
      <c r="AF113" s="1951"/>
    </row>
    <row r="114" spans="1:32" ht="15.75" thickBot="1" x14ac:dyDescent="0.3">
      <c r="A114" s="254">
        <v>56</v>
      </c>
      <c r="B114" s="615" t="s">
        <v>262</v>
      </c>
      <c r="C114" s="800">
        <f t="shared" si="41"/>
        <v>0</v>
      </c>
      <c r="D114" s="910">
        <f t="shared" si="42"/>
        <v>0</v>
      </c>
      <c r="E114" s="800">
        <f t="shared" si="43"/>
        <v>0</v>
      </c>
      <c r="F114" s="909">
        <f t="shared" si="44"/>
        <v>0</v>
      </c>
      <c r="G114" s="2740" t="s">
        <v>923</v>
      </c>
      <c r="H114" s="2741"/>
      <c r="I114" s="2741"/>
      <c r="J114" s="2742"/>
      <c r="L114" s="921"/>
      <c r="M114" s="20"/>
      <c r="N114" s="2112"/>
      <c r="O114" s="2835" t="s">
        <v>174</v>
      </c>
      <c r="P114" s="2836"/>
      <c r="Q114" s="507">
        <f>Q79</f>
        <v>0</v>
      </c>
      <c r="R114" s="507">
        <f>R79</f>
        <v>0</v>
      </c>
      <c r="S114" s="51" t="s">
        <v>601</v>
      </c>
      <c r="AF114" s="1951"/>
    </row>
    <row r="115" spans="1:32" ht="15.75" thickBot="1" x14ac:dyDescent="0.3">
      <c r="A115" s="254">
        <v>57</v>
      </c>
      <c r="B115" s="615" t="s">
        <v>672</v>
      </c>
      <c r="C115" s="800">
        <f t="shared" si="41"/>
        <v>0</v>
      </c>
      <c r="D115" s="910">
        <f t="shared" si="42"/>
        <v>0</v>
      </c>
      <c r="E115" s="800">
        <f t="shared" si="43"/>
        <v>0</v>
      </c>
      <c r="F115" s="909">
        <f t="shared" si="44"/>
        <v>0</v>
      </c>
      <c r="G115" s="2740" t="s">
        <v>923</v>
      </c>
      <c r="H115" s="2741"/>
      <c r="I115" s="2741"/>
      <c r="J115" s="2742"/>
      <c r="M115" s="959" t="s">
        <v>241</v>
      </c>
      <c r="N115" s="960" t="s">
        <v>518</v>
      </c>
      <c r="O115" s="960" t="s">
        <v>115</v>
      </c>
      <c r="P115" s="961" t="s">
        <v>77</v>
      </c>
      <c r="Q115" s="18" t="str">
        <f>BGPartner_AP</f>
        <v>A. Plichtig</v>
      </c>
      <c r="R115" s="60" t="str">
        <f>BGPartner_AG</f>
        <v>A. Gerechtigd</v>
      </c>
      <c r="S115" s="45" t="s">
        <v>117</v>
      </c>
      <c r="AF115" s="1951"/>
    </row>
    <row r="116" spans="1:32" x14ac:dyDescent="0.25">
      <c r="A116" s="254" t="s">
        <v>1013</v>
      </c>
      <c r="B116" s="615" t="s">
        <v>1055</v>
      </c>
      <c r="C116" s="800">
        <f t="shared" si="41"/>
        <v>0</v>
      </c>
      <c r="D116" s="910">
        <f t="shared" si="42"/>
        <v>0</v>
      </c>
      <c r="E116" s="800">
        <f t="shared" si="43"/>
        <v>0</v>
      </c>
      <c r="F116" s="909">
        <f t="shared" si="44"/>
        <v>0</v>
      </c>
      <c r="G116" s="2740" t="s">
        <v>923</v>
      </c>
      <c r="H116" s="2741"/>
      <c r="I116" s="2741"/>
      <c r="J116" s="2742"/>
      <c r="M116" s="962">
        <v>0</v>
      </c>
      <c r="N116" s="669">
        <v>12169</v>
      </c>
      <c r="O116" s="669">
        <v>0</v>
      </c>
      <c r="P116" s="963">
        <v>8.0530000000000004E-2</v>
      </c>
      <c r="Q116" s="330">
        <f>IF(AND(Q$114&gt;$M116,Q$114&lt;=$N116),P116*Q$114,0)</f>
        <v>0</v>
      </c>
      <c r="R116" s="581">
        <f>IF(AND($R$114&gt;$M116,$R$114&lt;=$N116),P116*$R$114,0)</f>
        <v>0</v>
      </c>
      <c r="S116" s="927" t="str">
        <f>P116*100&amp;"% x arbeidsinkomen (nr. 54 en 70 en 76)"</f>
        <v>8,053% x arbeidsinkomen (nr. 54 en 70 en 76)</v>
      </c>
      <c r="AF116" s="1951"/>
    </row>
    <row r="117" spans="1:32" ht="15.75" thickBot="1" x14ac:dyDescent="0.3">
      <c r="A117" s="518">
        <v>58</v>
      </c>
      <c r="B117" s="616" t="s">
        <v>263</v>
      </c>
      <c r="C117" s="801">
        <f t="shared" si="41"/>
        <v>0</v>
      </c>
      <c r="D117" s="211">
        <f t="shared" si="42"/>
        <v>0</v>
      </c>
      <c r="E117" s="801">
        <f t="shared" si="43"/>
        <v>0</v>
      </c>
      <c r="F117" s="909">
        <f t="shared" si="44"/>
        <v>0</v>
      </c>
      <c r="G117" s="2802" t="s">
        <v>923</v>
      </c>
      <c r="H117" s="2803"/>
      <c r="I117" s="2803"/>
      <c r="J117" s="2804"/>
      <c r="M117" s="964">
        <f>N116</f>
        <v>12169</v>
      </c>
      <c r="N117" s="649">
        <v>26288</v>
      </c>
      <c r="O117" s="649">
        <v>980</v>
      </c>
      <c r="P117" s="695">
        <v>0.30030000000000001</v>
      </c>
      <c r="Q117" s="331">
        <f>IF(AND($Q$114&gt;$M117,$Q$114&lt;=$N117),$O117+($P117*($Q$114-($M117))),0)</f>
        <v>0</v>
      </c>
      <c r="R117" s="582">
        <f>IF(AND($R$114&gt;$M117,$R$114&lt;=$N117),$O117+($P117*($R$114-($M117))),0)</f>
        <v>0</v>
      </c>
      <c r="S117" s="926" t="str">
        <f>"€ "&amp;O117&amp;" + "&amp;P117*100&amp;"% x (arbeidsinkomen - € "&amp;M117&amp;")"</f>
        <v>€ 980 + 30,03% x (arbeidsinkomen - € 12169)</v>
      </c>
      <c r="AF117" s="1951"/>
    </row>
    <row r="118" spans="1:32" ht="15.75" thickBot="1" x14ac:dyDescent="0.3">
      <c r="M118" s="964">
        <f>N117</f>
        <v>26288</v>
      </c>
      <c r="N118" s="649">
        <v>43071</v>
      </c>
      <c r="O118" s="965">
        <v>5220</v>
      </c>
      <c r="P118" s="695">
        <v>2.2579999999999999E-2</v>
      </c>
      <c r="Q118" s="331">
        <f>IF(AND(Q$114&gt;$M118,Q$114&lt;=$N118),$O118+($P118*(Q$114-($M118))),0)</f>
        <v>0</v>
      </c>
      <c r="R118" s="582">
        <f>IF(AND($R$114&gt;$M118,$R$114&lt;=$N118),$O118+($P118*($R$114-($M118))),0)</f>
        <v>0</v>
      </c>
      <c r="S118" s="926" t="str">
        <f>"€ "&amp;O118&amp;" + "&amp;P118*100&amp;"% x (arbeidsinkomen - € "&amp;M118&amp;")"</f>
        <v>€ 5220 + 2,258% x (arbeidsinkomen - € 26288)</v>
      </c>
      <c r="AF118" s="1951"/>
    </row>
    <row r="119" spans="1:32" ht="15.75" thickBot="1" x14ac:dyDescent="0.3">
      <c r="A119" s="144">
        <v>42</v>
      </c>
      <c r="B119" s="92" t="s">
        <v>389</v>
      </c>
      <c r="C119" s="53" t="str">
        <f>BGPartner_AP</f>
        <v>A. Plichtig</v>
      </c>
      <c r="E119" s="18" t="str">
        <f>BGPartner_AG</f>
        <v>A. Gerechtigd</v>
      </c>
      <c r="M119" s="964">
        <f>N118</f>
        <v>43071</v>
      </c>
      <c r="N119" s="649">
        <v>129078</v>
      </c>
      <c r="O119" s="649">
        <v>5599</v>
      </c>
      <c r="P119" s="695">
        <v>6.5100000000000005E-2</v>
      </c>
      <c r="Q119" s="331">
        <f>IF(AND($Q$114&gt;$M119,$Q$114&lt;=$N119),$O119-($P119*($Q$114-($M119))),0)</f>
        <v>0</v>
      </c>
      <c r="R119" s="582">
        <f>IF(AND($R$114&gt;$M119,$R$114&lt;=$N119),$O119-($P119*($R$114-($M119))),0)</f>
        <v>0</v>
      </c>
      <c r="S119" s="926" t="str">
        <f>"€ "&amp;O119&amp;" - "&amp;P119*100&amp;"% x (arbeidsinkomen - € "&amp;M119&amp;")"</f>
        <v>€ 5599 - 6,51% x (arbeidsinkomen - € 43071)</v>
      </c>
      <c r="AF119" s="1951"/>
    </row>
    <row r="120" spans="1:32" ht="15.75" thickBot="1" x14ac:dyDescent="0.3">
      <c r="B120" s="250" t="s">
        <v>325</v>
      </c>
      <c r="C120" s="40" t="s">
        <v>91</v>
      </c>
      <c r="D120" s="2" t="s">
        <v>784</v>
      </c>
      <c r="E120" s="40" t="s">
        <v>91</v>
      </c>
      <c r="F120" s="2" t="s">
        <v>784</v>
      </c>
      <c r="L120" s="29"/>
      <c r="M120" s="966">
        <f>N119</f>
        <v>129078</v>
      </c>
      <c r="N120" s="649" t="s">
        <v>68</v>
      </c>
      <c r="O120" s="649">
        <v>0</v>
      </c>
      <c r="P120" s="696"/>
      <c r="Q120" s="583">
        <v>0</v>
      </c>
      <c r="R120" s="584">
        <v>0</v>
      </c>
      <c r="S120" s="37"/>
      <c r="AF120" s="1951"/>
    </row>
    <row r="121" spans="1:32" ht="15.75" thickBot="1" x14ac:dyDescent="0.3">
      <c r="A121" s="8" t="s">
        <v>223</v>
      </c>
      <c r="B121" s="95" t="s">
        <v>70</v>
      </c>
      <c r="C121" s="18" t="str">
        <f>IF(C120="Maand","Per Maand",IF(C120="4 Weken","Per 4-weken",IF(C120="Anders","Anders","")))</f>
        <v>Per Maand</v>
      </c>
      <c r="D121" s="105" t="s">
        <v>322</v>
      </c>
      <c r="E121" s="18" t="str">
        <f>IF(E120="Maand","Per Maand",IF(E120="4 Weken","Per 4-weken",IF(E120="Anders","Anders","")))</f>
        <v>Per Maand</v>
      </c>
      <c r="F121" s="60" t="s">
        <v>322</v>
      </c>
      <c r="G121" s="2755" t="s">
        <v>191</v>
      </c>
      <c r="H121" s="2756"/>
      <c r="I121" s="2756"/>
      <c r="J121" s="2705"/>
      <c r="M121" s="2832" t="s">
        <v>116</v>
      </c>
      <c r="N121" s="2837"/>
      <c r="O121" s="2837"/>
      <c r="P121" s="2837"/>
      <c r="Q121" s="328">
        <f>IF(BGAOWLeeftijdBereikt_AP="Ja","Zie AOW-tabel",SUM(Q116:Q120))</f>
        <v>0</v>
      </c>
      <c r="R121" s="508">
        <f>IF(BGAOWLeeftijdBereikt_AG="Ja","Zie AOW-tabel",SUM(R116:R120))</f>
        <v>0</v>
      </c>
      <c r="AF121" s="1951"/>
    </row>
    <row r="122" spans="1:32" ht="15" customHeight="1" x14ac:dyDescent="0.25">
      <c r="A122" s="24"/>
      <c r="B122" s="96" t="s">
        <v>132</v>
      </c>
      <c r="C122" s="84">
        <v>0</v>
      </c>
      <c r="D122" s="858">
        <f>IF(C$120="Maand",C122*12,IF(C$120="Jaar",C122,0))</f>
        <v>0</v>
      </c>
      <c r="E122" s="84">
        <v>0</v>
      </c>
      <c r="F122" s="855">
        <f>IF(E$120="Maand",E122*12,IF(E$120="Jaar",E122,0))</f>
        <v>0</v>
      </c>
      <c r="G122" s="2743" t="s">
        <v>399</v>
      </c>
      <c r="H122" s="2744"/>
      <c r="I122" s="2744"/>
      <c r="J122" s="2745"/>
      <c r="M122" s="948"/>
      <c r="N122" s="948"/>
      <c r="O122" s="948"/>
      <c r="P122" s="948"/>
      <c r="AF122" s="1951"/>
    </row>
    <row r="123" spans="1:32" ht="15.75" thickBot="1" x14ac:dyDescent="0.3">
      <c r="A123" s="152"/>
      <c r="B123" s="97" t="s">
        <v>924</v>
      </c>
      <c r="C123" s="35">
        <v>0</v>
      </c>
      <c r="D123" s="859">
        <f>IF(C$120="Maand",C123*12,IF(C$120="Jaar",C123,0))</f>
        <v>0</v>
      </c>
      <c r="E123" s="35">
        <v>0</v>
      </c>
      <c r="F123" s="856">
        <f>IF(E$120="Maand",E123*12,IF(E$120="Jaar",E123,0))</f>
        <v>0</v>
      </c>
      <c r="G123" s="2802" t="s">
        <v>399</v>
      </c>
      <c r="H123" s="2803"/>
      <c r="I123" s="2803"/>
      <c r="J123" s="2804"/>
      <c r="L123" s="2">
        <v>115</v>
      </c>
      <c r="M123" s="20" t="str">
        <f>"Arbeidskorting "&amp;BGJaarBerekening&amp;" (AOW-er)"</f>
        <v>Arbeidskorting 2025 (AOW-er)</v>
      </c>
      <c r="N123" s="21"/>
      <c r="O123" s="967"/>
      <c r="P123" s="967"/>
      <c r="Q123" s="135"/>
      <c r="R123" s="135"/>
      <c r="S123" s="51"/>
      <c r="AF123" s="1951"/>
    </row>
    <row r="124" spans="1:32" ht="15.75" thickBot="1" x14ac:dyDescent="0.3">
      <c r="A124" s="570">
        <v>42</v>
      </c>
      <c r="B124" s="571" t="s">
        <v>678</v>
      </c>
      <c r="C124" s="572">
        <f>SUM(C122:C123)</f>
        <v>0</v>
      </c>
      <c r="D124" s="860">
        <f>SUM(D122:D123)</f>
        <v>0</v>
      </c>
      <c r="E124" s="572">
        <f>SUM(E122:E123)</f>
        <v>0</v>
      </c>
      <c r="F124" s="857">
        <f>SUM(F122:F123)</f>
        <v>0</v>
      </c>
      <c r="M124" s="959" t="s">
        <v>241</v>
      </c>
      <c r="N124" s="960" t="s">
        <v>518</v>
      </c>
      <c r="O124" s="960" t="s">
        <v>115</v>
      </c>
      <c r="P124" s="961" t="s">
        <v>77</v>
      </c>
      <c r="Q124" s="18" t="str">
        <f>BGPartner_AP</f>
        <v>A. Plichtig</v>
      </c>
      <c r="R124" s="60" t="str">
        <f>BGPartner_AG</f>
        <v>A. Gerechtigd</v>
      </c>
      <c r="S124" s="45" t="s">
        <v>117</v>
      </c>
      <c r="AF124" s="1951"/>
    </row>
    <row r="125" spans="1:32" ht="15.75" thickBot="1" x14ac:dyDescent="0.3">
      <c r="A125" s="1097">
        <v>51</v>
      </c>
      <c r="B125" s="96" t="s">
        <v>224</v>
      </c>
      <c r="C125" s="67">
        <v>0</v>
      </c>
      <c r="D125" s="43">
        <f>IF(C$120="Maand",C125*12,IF(C$120="Jaar",C125,0))</f>
        <v>0</v>
      </c>
      <c r="E125" s="67">
        <v>0</v>
      </c>
      <c r="F125" s="802">
        <f>IF(E$120="Maand",E125*12,IF(E$120="Jaar",E125,0))</f>
        <v>0</v>
      </c>
      <c r="G125" s="2888" t="s">
        <v>399</v>
      </c>
      <c r="H125" s="2877"/>
      <c r="I125" s="2877"/>
      <c r="J125" s="2878"/>
      <c r="M125" s="962">
        <v>0</v>
      </c>
      <c r="N125" s="587">
        <f>N116</f>
        <v>12169</v>
      </c>
      <c r="O125" s="669">
        <v>0</v>
      </c>
      <c r="P125" s="963">
        <v>4.0289999999999999E-2</v>
      </c>
      <c r="Q125" s="464">
        <f>IF(AND($Q$114&gt;$M125,$Q$114&lt;=$N125),P125*$Q$114,0)</f>
        <v>0</v>
      </c>
      <c r="R125" s="1349">
        <f>IF(AND($R$114&gt;$M125,$R$114&lt;=$N125),P125*$R$114,0)</f>
        <v>0</v>
      </c>
      <c r="S125" s="927" t="str">
        <f>P125*100&amp;"% x arbeidsinkomen (nr. 54 en 70 en 76)"</f>
        <v>4,029% x arbeidsinkomen (nr. 54 en 70 en 76)</v>
      </c>
      <c r="AF125" s="1951"/>
    </row>
    <row r="126" spans="1:32" ht="15" customHeight="1" thickBot="1" x14ac:dyDescent="0.3">
      <c r="A126" s="147">
        <v>57</v>
      </c>
      <c r="B126" s="1100" t="str">
        <f>"In te houden/ af te dragen ZVW-premie a "&amp;BGZVWPremie*100&amp;"%"</f>
        <v>In te houden/ af te dragen ZVW-premie a 5,26%</v>
      </c>
      <c r="C126" s="2215">
        <f>'Alimentatie 2025-01'!E204</f>
        <v>0</v>
      </c>
      <c r="D126" s="49">
        <f>C126</f>
        <v>0</v>
      </c>
      <c r="E126" s="2215">
        <f>'Alimentatie 2025-01'!H204</f>
        <v>0</v>
      </c>
      <c r="F126" s="49">
        <f>E126</f>
        <v>0</v>
      </c>
      <c r="G126" s="2829" t="s">
        <v>849</v>
      </c>
      <c r="H126" s="2830"/>
      <c r="I126" s="2830"/>
      <c r="J126" s="2831"/>
      <c r="M126" s="964">
        <f>N125</f>
        <v>12169</v>
      </c>
      <c r="N126" s="661">
        <f>N117</f>
        <v>26288</v>
      </c>
      <c r="O126" s="649">
        <v>491</v>
      </c>
      <c r="P126" s="695">
        <v>0.15023</v>
      </c>
      <c r="Q126" s="465">
        <f>IF(AND($Q$114&gt;$M126,$Q$114&lt;=$N126),$O126+($P126*($Q$114-($M126))),0)</f>
        <v>0</v>
      </c>
      <c r="R126" s="2113">
        <f>IF(AND($R$114&gt;$M126,$R$114&lt;=$N126),$O126+($P126*($R$114-($M126))),0)</f>
        <v>0</v>
      </c>
      <c r="S126" s="926" t="str">
        <f>"€ "&amp;O126&amp;" + "&amp;P126*100&amp;"% x (arbeidsinkomen - € "&amp;M126&amp;")"</f>
        <v>€ 491 + 15,023% x (arbeidsinkomen - € 12169)</v>
      </c>
      <c r="AF126" s="1951"/>
    </row>
    <row r="127" spans="1:32" ht="15.75" thickBot="1" x14ac:dyDescent="0.3">
      <c r="C127" s="104"/>
      <c r="E127" s="104"/>
      <c r="M127" s="964">
        <f>N126</f>
        <v>26288</v>
      </c>
      <c r="N127" s="661">
        <f t="shared" ref="N127:N128" si="45">N118</f>
        <v>43071</v>
      </c>
      <c r="O127" s="965">
        <v>2612</v>
      </c>
      <c r="P127" s="695">
        <v>1.1299999999999999E-2</v>
      </c>
      <c r="Q127" s="465">
        <f>IF(AND($Q$114&gt;$M127,$Q$114&lt;=$N127),$O127+($P127*($Q$114-($M127))),0)</f>
        <v>0</v>
      </c>
      <c r="R127" s="2113">
        <f>IF(AND($R$114&gt;$M127,$R$114&lt;=$N127),$O127+($P127*($R$114-($M127))),0)</f>
        <v>0</v>
      </c>
      <c r="S127" s="926" t="str">
        <f>"€ "&amp;O127&amp;" + "&amp;P127*100&amp;"% x (arbeidsinkomen - € "&amp;M127&amp;")"</f>
        <v>€ 2612 + 1,13% x (arbeidsinkomen - € 26288)</v>
      </c>
      <c r="AF127" s="1951"/>
    </row>
    <row r="128" spans="1:32" ht="15.75" thickBot="1" x14ac:dyDescent="0.3">
      <c r="A128" s="144">
        <v>43</v>
      </c>
      <c r="B128" s="92" t="s">
        <v>284</v>
      </c>
      <c r="C128" s="53" t="str">
        <f>BGPartner_AP</f>
        <v>A. Plichtig</v>
      </c>
      <c r="E128" s="18" t="str">
        <f>BGPartner_AG</f>
        <v>A. Gerechtigd</v>
      </c>
      <c r="M128" s="964">
        <f>N127</f>
        <v>43071</v>
      </c>
      <c r="N128" s="661">
        <f t="shared" si="45"/>
        <v>129078</v>
      </c>
      <c r="O128" s="649">
        <v>2802</v>
      </c>
      <c r="P128" s="695">
        <v>3.2570000000000002E-2</v>
      </c>
      <c r="Q128" s="465">
        <f>IF(AND($Q$114&gt;$M128,$Q$114&lt;=$N128),$O128-($P128*($Q$114-($M128))),0)</f>
        <v>0</v>
      </c>
      <c r="R128" s="2113">
        <f>IF(AND($R$114&gt;$M128,$R$114&lt;=$N128),$O128-($P128*($R$114-($M128))),0)</f>
        <v>0</v>
      </c>
      <c r="S128" s="926" t="str">
        <f>"€ "&amp;O128&amp;" - "&amp;P128*100&amp;"% x (arbeidsinkomen - € "&amp;M128&amp;")"</f>
        <v>€ 2802 - 3,257% x (arbeidsinkomen - € 43071)</v>
      </c>
      <c r="AF128" s="1951"/>
    </row>
    <row r="129" spans="1:32" ht="15.75" thickBot="1" x14ac:dyDescent="0.3">
      <c r="B129" s="250" t="s">
        <v>325</v>
      </c>
      <c r="C129" s="40" t="s">
        <v>91</v>
      </c>
      <c r="D129" s="2" t="s">
        <v>784</v>
      </c>
      <c r="E129" s="40" t="s">
        <v>91</v>
      </c>
      <c r="F129" s="2" t="s">
        <v>784</v>
      </c>
      <c r="M129" s="966">
        <f>N128</f>
        <v>129078</v>
      </c>
      <c r="N129" s="649" t="s">
        <v>68</v>
      </c>
      <c r="O129" s="649">
        <v>0</v>
      </c>
      <c r="P129" s="696"/>
      <c r="Q129" s="577">
        <v>0</v>
      </c>
      <c r="R129" s="2114">
        <v>0</v>
      </c>
      <c r="S129" s="37"/>
      <c r="AF129" s="1951"/>
    </row>
    <row r="130" spans="1:32" ht="15.75" thickBot="1" x14ac:dyDescent="0.3">
      <c r="A130" s="8" t="s">
        <v>223</v>
      </c>
      <c r="B130" s="95" t="s">
        <v>70</v>
      </c>
      <c r="C130" s="18" t="str">
        <f>IF(C129="Maand","Per Maand",IF(C129="4 Weken","Per 4-weken",IF(C129="Anders","Anders","")))</f>
        <v>Per Maand</v>
      </c>
      <c r="D130" s="105" t="s">
        <v>322</v>
      </c>
      <c r="E130" s="18" t="str">
        <f>IF(E129="Maand","Per Maand",IF(E129="4 Weken","Per 4-weken",IF(E129="Anders","Anders","")))</f>
        <v>Per Maand</v>
      </c>
      <c r="F130" s="105" t="s">
        <v>322</v>
      </c>
      <c r="G130" s="2755" t="s">
        <v>191</v>
      </c>
      <c r="H130" s="2756"/>
      <c r="I130" s="2756"/>
      <c r="J130" s="2705"/>
      <c r="M130" s="2832" t="s">
        <v>116</v>
      </c>
      <c r="N130" s="2837"/>
      <c r="O130" s="2837"/>
      <c r="P130" s="2837"/>
      <c r="Q130" s="386" t="str">
        <f>IF(BGAOWLeeftijdBereikt_AP="Nee","Zie WERK-tabel",SUM(Q125:Q129))</f>
        <v>Zie WERK-tabel</v>
      </c>
      <c r="R130" s="509" t="str">
        <f>IF(BGAOWLeeftijdBereikt_AG="Nee","Zie WERK-tabel",SUM(R125:R129))</f>
        <v>Zie WERK-tabel</v>
      </c>
      <c r="AF130" s="1951"/>
    </row>
    <row r="131" spans="1:32" ht="15.75" thickBot="1" x14ac:dyDescent="0.3">
      <c r="A131" s="59"/>
      <c r="B131" s="145" t="s">
        <v>411</v>
      </c>
      <c r="C131" s="208">
        <v>0</v>
      </c>
      <c r="D131" s="1461">
        <f>IF(C$129="Maand",C131*12,IF(C$129="Jaar",C131,0))</f>
        <v>0</v>
      </c>
      <c r="E131" s="208">
        <v>0</v>
      </c>
      <c r="F131" s="1461">
        <f>IF(E$129="Maand",E131*12,IF(E$129="Jaar",E131,0))</f>
        <v>0</v>
      </c>
      <c r="G131" s="2779" t="s">
        <v>410</v>
      </c>
      <c r="H131" s="2780"/>
      <c r="I131" s="2780"/>
      <c r="J131" s="2781"/>
      <c r="M131" s="948"/>
      <c r="N131" s="948"/>
      <c r="O131" s="948"/>
      <c r="P131" s="948"/>
      <c r="AF131" s="1951"/>
    </row>
    <row r="132" spans="1:32" ht="15.75" customHeight="1" thickBot="1" x14ac:dyDescent="0.3">
      <c r="A132" s="152">
        <v>44</v>
      </c>
      <c r="B132" s="97" t="s">
        <v>1057</v>
      </c>
      <c r="C132" s="209">
        <v>0</v>
      </c>
      <c r="D132" s="1967">
        <f>IF(C$129="Maand",C132*12,IF(C$129="Jaar",C132,0))</f>
        <v>0</v>
      </c>
      <c r="E132" s="209">
        <v>0</v>
      </c>
      <c r="F132" s="1967">
        <f>IF(E$129="Maand",E132*12,IF(E$129="Jaar",E132,0))</f>
        <v>0</v>
      </c>
      <c r="G132" s="2782" t="s">
        <v>410</v>
      </c>
      <c r="H132" s="2783"/>
      <c r="I132" s="2783"/>
      <c r="J132" s="2784"/>
      <c r="L132" s="2">
        <v>115</v>
      </c>
      <c r="M132" s="20" t="str">
        <f>"Ouderenkorting "&amp;BGJaarBerekening</f>
        <v>Ouderenkorting 2025</v>
      </c>
      <c r="N132" s="968" t="s">
        <v>125</v>
      </c>
      <c r="O132" s="948"/>
      <c r="P132" s="948"/>
      <c r="T132" s="2702" t="str">
        <f>T2</f>
        <v>Belasting t.b.v. kinderalimentatie</v>
      </c>
      <c r="U132" s="2703"/>
      <c r="AF132" s="1951"/>
    </row>
    <row r="133" spans="1:32" ht="15.75" thickBot="1" x14ac:dyDescent="0.3">
      <c r="A133" s="151">
        <v>43</v>
      </c>
      <c r="B133" s="98" t="s">
        <v>133</v>
      </c>
      <c r="C133" s="49">
        <f>SUM(C131:C132)</f>
        <v>0</v>
      </c>
      <c r="D133" s="1968">
        <f>SUM(D131:D132)</f>
        <v>0</v>
      </c>
      <c r="E133" s="49">
        <f>SUM(E131:E132)</f>
        <v>0</v>
      </c>
      <c r="F133" s="304">
        <f>SUM(F131:F132)</f>
        <v>0</v>
      </c>
      <c r="M133" s="948"/>
      <c r="N133" s="948"/>
      <c r="O133" s="2835" t="s">
        <v>176</v>
      </c>
      <c r="P133" s="2836"/>
      <c r="Q133" s="1653">
        <f>AL94VerzInkomen_AP</f>
        <v>0</v>
      </c>
      <c r="R133" s="509">
        <f>AL94VerzInkomen_AG</f>
        <v>0</v>
      </c>
      <c r="S133" s="51" t="s">
        <v>177</v>
      </c>
      <c r="T133" s="502">
        <f>'Alimentatie 2025-01'!E129</f>
        <v>0</v>
      </c>
      <c r="U133" s="502">
        <f>'Alimentatie 2025-01'!H129</f>
        <v>0</v>
      </c>
      <c r="AF133" s="1951"/>
    </row>
    <row r="134" spans="1:32" ht="15.75" thickBot="1" x14ac:dyDescent="0.3">
      <c r="A134" s="147">
        <v>51</v>
      </c>
      <c r="B134" s="99" t="s">
        <v>224</v>
      </c>
      <c r="C134" s="122">
        <v>0</v>
      </c>
      <c r="D134" s="252">
        <f>IF(C$129="Maand",C134*12,IF(C$129="Jaar",C134,0))</f>
        <v>0</v>
      </c>
      <c r="E134" s="122">
        <v>0</v>
      </c>
      <c r="F134" s="240">
        <f>IF(E$129="Maand",E134*12,IF(E$129="Jaar",E134,0))</f>
        <v>0</v>
      </c>
      <c r="M134" s="959" t="s">
        <v>241</v>
      </c>
      <c r="N134" s="960" t="s">
        <v>518</v>
      </c>
      <c r="O134" s="960" t="s">
        <v>115</v>
      </c>
      <c r="P134" s="961" t="s">
        <v>77</v>
      </c>
      <c r="Q134" s="18" t="str">
        <f>BGPartner_AP</f>
        <v>A. Plichtig</v>
      </c>
      <c r="R134" s="60" t="str">
        <f>BGPartner_AG</f>
        <v>A. Gerechtigd</v>
      </c>
      <c r="S134" s="106" t="s">
        <v>117</v>
      </c>
      <c r="T134" s="18" t="str">
        <f>BGPartner_AP</f>
        <v>A. Plichtig</v>
      </c>
      <c r="U134" s="60" t="str">
        <f>BGPartner_AG</f>
        <v>A. Gerechtigd</v>
      </c>
      <c r="AF134" s="1951"/>
    </row>
    <row r="135" spans="1:32" ht="15.75" thickBot="1" x14ac:dyDescent="0.3">
      <c r="M135" s="969">
        <v>0</v>
      </c>
      <c r="N135" s="970">
        <v>45308</v>
      </c>
      <c r="O135" s="688">
        <v>2035</v>
      </c>
      <c r="P135" s="689"/>
      <c r="Q135" s="795">
        <f>IF(AND(Q$133&gt;$M135,Q$133&lt;=$N135),$O135,0)</f>
        <v>0</v>
      </c>
      <c r="R135" s="795">
        <f>IF(AND(R$133&gt;$M135,R$133&lt;=$N135),$O135,0)</f>
        <v>0</v>
      </c>
      <c r="S135" s="923" t="str">
        <f>"€ "&amp;O135</f>
        <v>€ 2035</v>
      </c>
      <c r="T135" s="795">
        <f t="shared" ref="T135:U135" si="46">IF(AND(T$133&gt;$M135,T$133&lt;=$N135),$O135,0)</f>
        <v>0</v>
      </c>
      <c r="U135" s="795">
        <f t="shared" si="46"/>
        <v>0</v>
      </c>
      <c r="AF135" s="1951"/>
    </row>
    <row r="136" spans="1:32" ht="15.75" thickBot="1" x14ac:dyDescent="0.3">
      <c r="A136" s="144">
        <v>50</v>
      </c>
      <c r="B136" s="92" t="s">
        <v>135</v>
      </c>
      <c r="C136" s="53" t="str">
        <f>BGPartner_AP</f>
        <v>A. Plichtig</v>
      </c>
      <c r="E136" s="18" t="str">
        <f>BGPartner_AG</f>
        <v>A. Gerechtigd</v>
      </c>
      <c r="M136" s="971">
        <f>N135</f>
        <v>45308</v>
      </c>
      <c r="N136" s="632">
        <v>58875</v>
      </c>
      <c r="O136" s="690">
        <v>0</v>
      </c>
      <c r="P136" s="691">
        <v>0.15</v>
      </c>
      <c r="Q136" s="296">
        <f>IF(AND(Q$133&gt;$M136,Q$133&lt;=$N136),O135-($P136*(Q$133-($M136))),0)</f>
        <v>0</v>
      </c>
      <c r="R136" s="296">
        <f>IF(AND(R$133&gt;$M136,R$133&lt;=$N136),P135-($P136*(R$133-($M136))),0)</f>
        <v>0</v>
      </c>
      <c r="S136" s="926" t="str">
        <f>"€ "&amp;O135&amp;" - "&amp;P136*100&amp;"% x (verzamelinkomen - € "&amp;N135&amp;")"</f>
        <v>€ 2035 - 15% x (verzamelinkomen - € 45308)</v>
      </c>
      <c r="T136" s="296">
        <f t="shared" ref="T136:U136" si="47">IF(AND(T$133&gt;$M136,T$133&lt;=$N136),R135-($P136*(T$133-($M136))),0)</f>
        <v>0</v>
      </c>
      <c r="U136" s="296">
        <f t="shared" si="47"/>
        <v>0</v>
      </c>
      <c r="AF136" s="1951"/>
    </row>
    <row r="137" spans="1:32" ht="15.75" thickBot="1" x14ac:dyDescent="0.3">
      <c r="B137" s="250" t="s">
        <v>325</v>
      </c>
      <c r="C137" s="40" t="s">
        <v>91</v>
      </c>
      <c r="D137" s="2" t="s">
        <v>784</v>
      </c>
      <c r="E137" s="40" t="s">
        <v>91</v>
      </c>
      <c r="F137" s="2" t="s">
        <v>784</v>
      </c>
      <c r="M137" s="972">
        <f>N136</f>
        <v>58875</v>
      </c>
      <c r="N137" s="697">
        <v>0</v>
      </c>
      <c r="O137" s="697">
        <v>0</v>
      </c>
      <c r="P137" s="698"/>
      <c r="Q137" s="2116">
        <v>0</v>
      </c>
      <c r="R137" s="2115">
        <v>0</v>
      </c>
      <c r="S137" s="37">
        <v>0</v>
      </c>
      <c r="T137" s="580">
        <v>0</v>
      </c>
      <c r="U137" s="580">
        <v>0</v>
      </c>
      <c r="AF137" s="1951"/>
    </row>
    <row r="138" spans="1:32" ht="15.75" thickBot="1" x14ac:dyDescent="0.3">
      <c r="A138" s="8" t="s">
        <v>223</v>
      </c>
      <c r="B138" s="95" t="s">
        <v>70</v>
      </c>
      <c r="C138" s="18" t="str">
        <f>IF(C137="Maand","Per Maand",IF(C137="4 Weken","Per 4-weken",IF(C137="Anders","Anders","")))</f>
        <v>Per Maand</v>
      </c>
      <c r="D138" s="105" t="s">
        <v>322</v>
      </c>
      <c r="E138" s="18" t="str">
        <f>IF(E137="Maand","Per Maand",IF(E137="4 Weken","Per 4-weken",IF(E137="Anders","Anders","")))</f>
        <v>Per Maand</v>
      </c>
      <c r="F138" s="60" t="s">
        <v>322</v>
      </c>
      <c r="G138" s="2755" t="s">
        <v>191</v>
      </c>
      <c r="H138" s="2756"/>
      <c r="I138" s="2756"/>
      <c r="J138" s="2705"/>
      <c r="M138" s="2715" t="s">
        <v>116</v>
      </c>
      <c r="N138" s="2719"/>
      <c r="O138" s="2719"/>
      <c r="P138" s="2719"/>
      <c r="Q138" s="49" t="str">
        <f>IF(BGJaarBerekening&gt;=YEAR($C$9),SUM(Q135:Q137),"n.v.t")</f>
        <v>n.v.t</v>
      </c>
      <c r="R138" s="304" t="str">
        <f>IF(BGJaarBerekening&gt;=YEAR($D$9),SUM(R135:R137),"n.v.t")</f>
        <v>n.v.t</v>
      </c>
      <c r="T138" s="49" t="str">
        <f>IF(BGJaarBerekening&gt;=YEAR($C$9),SUM(T135:T137),"n.v.t")</f>
        <v>n.v.t</v>
      </c>
      <c r="U138" s="304" t="str">
        <f>IF(BGJaarBerekening&gt;=YEAR($D$9),SUM(U135:U137),"n.v.t")</f>
        <v>n.v.t</v>
      </c>
      <c r="AF138" s="1951"/>
    </row>
    <row r="139" spans="1:32" ht="15.75" thickBot="1" x14ac:dyDescent="0.3">
      <c r="A139" s="59"/>
      <c r="B139" s="96" t="s">
        <v>609</v>
      </c>
      <c r="C139" s="84">
        <v>0</v>
      </c>
      <c r="D139" s="795">
        <f>IF(C$137="Maand",C139*12,IF(C$137="Jaar",C139,0))</f>
        <v>0</v>
      </c>
      <c r="E139" s="84">
        <v>0</v>
      </c>
      <c r="F139" s="795">
        <f>IF(E$137="Maand",E139*12,IF(E$137="Jaar",E139,0))</f>
        <v>0</v>
      </c>
      <c r="G139" s="2743" t="s">
        <v>394</v>
      </c>
      <c r="H139" s="2744"/>
      <c r="I139" s="2744"/>
      <c r="J139" s="2745"/>
      <c r="M139" s="2847" t="s">
        <v>179</v>
      </c>
      <c r="N139" s="2848"/>
      <c r="O139" s="2848"/>
      <c r="P139" s="2848"/>
      <c r="Q139" s="2848"/>
      <c r="R139" s="2849"/>
      <c r="S139" s="305"/>
      <c r="AF139" s="1951"/>
    </row>
    <row r="140" spans="1:32" ht="15.75" thickBot="1" x14ac:dyDescent="0.3">
      <c r="A140" s="152"/>
      <c r="B140" s="97" t="s">
        <v>136</v>
      </c>
      <c r="C140" s="35">
        <v>0</v>
      </c>
      <c r="D140" s="796">
        <f>IF(C$137="Maand",C140*12,IF(C$137="Jaar",C140,0))</f>
        <v>0</v>
      </c>
      <c r="E140" s="35">
        <v>0</v>
      </c>
      <c r="F140" s="796">
        <f>IF(E$137="Maand",E140*12,IF(E$137="Jaar",E140,0))</f>
        <v>0</v>
      </c>
      <c r="G140" s="2802" t="s">
        <v>394</v>
      </c>
      <c r="H140" s="2803"/>
      <c r="I140" s="2803"/>
      <c r="J140" s="2804"/>
      <c r="AF140" s="1951"/>
    </row>
    <row r="141" spans="1:32" ht="15.75" thickBot="1" x14ac:dyDescent="0.3">
      <c r="A141" s="1097">
        <v>50</v>
      </c>
      <c r="B141" s="571" t="s">
        <v>133</v>
      </c>
      <c r="C141" s="1098">
        <f>SUM(C139:C140)</f>
        <v>0</v>
      </c>
      <c r="D141" s="1098">
        <f>SUM(D139:D140)</f>
        <v>0</v>
      </c>
      <c r="E141" s="1098">
        <f>SUM(E139:E140)</f>
        <v>0</v>
      </c>
      <c r="F141" s="1098">
        <f>SUM(F139:F140)</f>
        <v>0</v>
      </c>
      <c r="M141" s="2209" t="str">
        <f>"Drempel specifieke zorgkosten "&amp;BGJaarBerekening&amp;" (deels fiscaal partner)"</f>
        <v>Drempel specifieke zorgkosten 2025 (deels fiscaal partner)</v>
      </c>
      <c r="P141" s="28" t="s">
        <v>996</v>
      </c>
      <c r="AF141" s="1951"/>
    </row>
    <row r="142" spans="1:32" ht="15" customHeight="1" thickBot="1" x14ac:dyDescent="0.3">
      <c r="A142" s="1099">
        <v>57</v>
      </c>
      <c r="B142" s="1100" t="str">
        <f>"In te houden/ af te dragen ZVW-premie a "&amp;BGZVWPremie*100&amp;"%"</f>
        <v>In te houden/ af te dragen ZVW-premie a 5,26%</v>
      </c>
      <c r="C142" s="2215">
        <f>'Alimentatie 2025-01'!E205</f>
        <v>0</v>
      </c>
      <c r="D142" s="49">
        <f>C142</f>
        <v>0</v>
      </c>
      <c r="E142" s="2215">
        <f>'Alimentatie 2025-01'!H205</f>
        <v>0</v>
      </c>
      <c r="F142" s="49">
        <f>E142</f>
        <v>0</v>
      </c>
      <c r="G142" s="2829" t="s">
        <v>849</v>
      </c>
      <c r="H142" s="2830"/>
      <c r="I142" s="2830"/>
      <c r="J142" s="2831"/>
      <c r="O142" s="2770" t="s">
        <v>183</v>
      </c>
      <c r="P142" s="2838"/>
      <c r="Q142" s="386">
        <f>AL94VerzInkomen_AP+AL93PersGebAftrek_AP+'Alimentatie 2025-01'!$D146+'Alimentatie 2025-01'!$D174</f>
        <v>0</v>
      </c>
      <c r="R142" s="509">
        <f>AL94VerzInkomen_AG+AL93PersGebAftrek_AG+'Alimentatie 2025-01'!$G146+'Alimentatie 2025-01'!$G174</f>
        <v>0</v>
      </c>
      <c r="S142" s="66" t="s">
        <v>186</v>
      </c>
      <c r="AF142" s="1951"/>
    </row>
    <row r="143" spans="1:32" ht="15.75" thickBot="1" x14ac:dyDescent="0.3">
      <c r="M143" s="2224" t="s">
        <v>241</v>
      </c>
      <c r="N143" s="641" t="s">
        <v>518</v>
      </c>
      <c r="O143" s="6" t="s">
        <v>115</v>
      </c>
      <c r="P143" s="48" t="s">
        <v>77</v>
      </c>
      <c r="Q143" s="18" t="str">
        <f>BGPartner_AP</f>
        <v>A. Plichtig</v>
      </c>
      <c r="R143" s="60" t="str">
        <f>BGPartner_AG</f>
        <v>A. Gerechtigd</v>
      </c>
      <c r="S143" s="65" t="s">
        <v>117</v>
      </c>
      <c r="AF143" s="1951"/>
    </row>
    <row r="144" spans="1:32" ht="15.75" thickBot="1" x14ac:dyDescent="0.3">
      <c r="A144" s="144"/>
      <c r="B144" s="92" t="s">
        <v>350</v>
      </c>
      <c r="E144" s="276"/>
      <c r="M144" s="973">
        <v>0</v>
      </c>
      <c r="N144" s="2220">
        <v>9534</v>
      </c>
      <c r="O144" s="2221">
        <v>164</v>
      </c>
      <c r="P144" s="2222"/>
      <c r="Q144" s="2119">
        <f>IF(OR(Q$142&gt;N144,Q$142&lt;0.01),0,O144)</f>
        <v>0</v>
      </c>
      <c r="R144" s="1336">
        <f>IF(OR(R$142&gt;N144,ROUND(R$142,0.01)&lt;0.01),0,O144)</f>
        <v>0</v>
      </c>
      <c r="S144" s="923" t="str">
        <f>"€ "&amp;O144</f>
        <v>€ 164</v>
      </c>
      <c r="AF144" s="1951"/>
    </row>
    <row r="145" spans="1:32" ht="15.75" thickBot="1" x14ac:dyDescent="0.3">
      <c r="A145" s="8" t="s">
        <v>223</v>
      </c>
      <c r="B145" s="263" t="s">
        <v>101</v>
      </c>
      <c r="C145" s="105" t="s">
        <v>314</v>
      </c>
      <c r="D145" s="23" t="str">
        <f>BGPartner_AP</f>
        <v>A. Plichtig</v>
      </c>
      <c r="E145" s="18" t="str">
        <f>BGPartner_AG</f>
        <v>A. Gerechtigd</v>
      </c>
      <c r="F145" s="2755" t="s">
        <v>315</v>
      </c>
      <c r="G145" s="2756"/>
      <c r="H145" s="2756"/>
      <c r="I145" s="2756"/>
      <c r="J145" s="2705"/>
      <c r="M145" s="974">
        <f>N144</f>
        <v>9534</v>
      </c>
      <c r="N145" s="632">
        <v>50635</v>
      </c>
      <c r="O145" s="690">
        <v>0</v>
      </c>
      <c r="P145" s="691">
        <v>1.6500000000000001E-2</v>
      </c>
      <c r="Q145" s="2120">
        <f>IF(OR(Q$142&lt;=M145,Q$142&gt;N145),0,O145+(P145*Q$142))</f>
        <v>0</v>
      </c>
      <c r="R145" s="2117">
        <f>IF(OR(R$142&lt;=M145,R$142&gt;N145),0,O145+(P145*R$142))</f>
        <v>0</v>
      </c>
      <c r="S145" s="924" t="str">
        <f>P145*100&amp;"% van het drempelinkomen"</f>
        <v>1,65% van het drempelinkomen</v>
      </c>
      <c r="AF145" s="1951"/>
    </row>
    <row r="146" spans="1:32" ht="15.75" thickBot="1" x14ac:dyDescent="0.3">
      <c r="A146" s="24">
        <v>71</v>
      </c>
      <c r="B146" s="1001" t="s">
        <v>400</v>
      </c>
      <c r="C146" s="941">
        <v>2470</v>
      </c>
      <c r="D146" s="307" t="s">
        <v>106</v>
      </c>
      <c r="E146" s="277" t="s">
        <v>106</v>
      </c>
      <c r="F146" s="2743" t="s">
        <v>386</v>
      </c>
      <c r="G146" s="2744"/>
      <c r="H146" s="2744"/>
      <c r="I146" s="2744"/>
      <c r="J146" s="2745"/>
      <c r="M146" s="975">
        <f>N145</f>
        <v>50635</v>
      </c>
      <c r="N146" s="2223">
        <v>0</v>
      </c>
      <c r="O146" s="2223">
        <v>835</v>
      </c>
      <c r="P146" s="692">
        <v>5.7500000000000002E-2</v>
      </c>
      <c r="Q146" s="2120">
        <f>IF(Q$142&gt;M146,O146+(P146*Q$142),0)</f>
        <v>0</v>
      </c>
      <c r="R146" s="2117">
        <f>IF(R$142&gt;M146,O146+(P146*R$142),0)</f>
        <v>0</v>
      </c>
      <c r="S146" s="925" t="str">
        <f>"€ "&amp;O146&amp;" + "&amp;P146*100&amp;"% van het bedrag boven € "&amp;M146</f>
        <v>€ 835 + 5,75% van het bedrag boven € 50635</v>
      </c>
      <c r="AF146" s="1951"/>
    </row>
    <row r="147" spans="1:32" ht="15.75" thickBot="1" x14ac:dyDescent="0.3">
      <c r="A147" s="26">
        <v>71</v>
      </c>
      <c r="B147" s="1002" t="s">
        <v>541</v>
      </c>
      <c r="C147" s="2184">
        <v>2123</v>
      </c>
      <c r="D147" s="308" t="s">
        <v>106</v>
      </c>
      <c r="E147" s="285" t="s">
        <v>106</v>
      </c>
      <c r="F147" s="2802" t="s">
        <v>387</v>
      </c>
      <c r="G147" s="2803"/>
      <c r="H147" s="2803"/>
      <c r="I147" s="2803"/>
      <c r="J147" s="2804"/>
      <c r="M147" s="2832" t="s">
        <v>116</v>
      </c>
      <c r="N147" s="2833"/>
      <c r="O147" s="2833"/>
      <c r="P147" s="2834"/>
      <c r="Q147" s="2121">
        <f>SUM(Q144:Q146)</f>
        <v>0</v>
      </c>
      <c r="R147" s="2118">
        <f>SUM(R144:R146)</f>
        <v>0</v>
      </c>
      <c r="S147" s="22"/>
      <c r="AF147" s="1951"/>
    </row>
    <row r="148" spans="1:32" ht="15.75" thickBot="1" x14ac:dyDescent="0.3">
      <c r="C148" s="633"/>
      <c r="M148" s="2850" t="s">
        <v>184</v>
      </c>
      <c r="N148" s="2851"/>
      <c r="O148" s="2851"/>
      <c r="P148" s="2851"/>
      <c r="Q148" s="2851"/>
      <c r="R148" s="2851"/>
      <c r="S148" s="2852"/>
      <c r="AF148" s="1951"/>
    </row>
    <row r="149" spans="1:32" ht="15.75" thickBot="1" x14ac:dyDescent="0.3">
      <c r="A149" s="144"/>
      <c r="B149" s="92" t="s">
        <v>350</v>
      </c>
      <c r="C149" s="633"/>
      <c r="E149" s="276"/>
      <c r="AF149" s="1951"/>
    </row>
    <row r="150" spans="1:32" ht="15.75" thickBot="1" x14ac:dyDescent="0.3">
      <c r="A150" s="8" t="s">
        <v>223</v>
      </c>
      <c r="B150" s="263" t="s">
        <v>101</v>
      </c>
      <c r="C150" s="677" t="s">
        <v>314</v>
      </c>
      <c r="D150" s="23" t="str">
        <f>BGPartner_AP</f>
        <v>A. Plichtig</v>
      </c>
      <c r="E150" s="18" t="str">
        <f>BGPartner_AG</f>
        <v>A. Gerechtigd</v>
      </c>
      <c r="F150" s="2755" t="s">
        <v>315</v>
      </c>
      <c r="G150" s="2756"/>
      <c r="H150" s="2756"/>
      <c r="I150" s="2756"/>
      <c r="J150" s="2705"/>
      <c r="L150" s="2">
        <v>82</v>
      </c>
      <c r="M150" s="20" t="str">
        <f>"Tabel eigenwoningforfait "&amp; BGJaarBerekening</f>
        <v>Tabel eigenwoningforfait 2025</v>
      </c>
      <c r="N150" s="948"/>
      <c r="O150" s="968" t="s">
        <v>108</v>
      </c>
      <c r="P150" s="948"/>
      <c r="Q150" s="948"/>
      <c r="AF150" s="1951"/>
    </row>
    <row r="151" spans="1:32" ht="15.75" thickBot="1" x14ac:dyDescent="0.3">
      <c r="A151" s="24"/>
      <c r="B151" s="1003" t="s">
        <v>347</v>
      </c>
      <c r="C151" s="2183">
        <v>15738</v>
      </c>
      <c r="D151" s="307" t="s">
        <v>106</v>
      </c>
      <c r="E151" s="277" t="s">
        <v>106</v>
      </c>
      <c r="F151" s="2743" t="s">
        <v>387</v>
      </c>
      <c r="G151" s="2744"/>
      <c r="H151" s="2744"/>
      <c r="I151" s="2744"/>
      <c r="J151" s="2745"/>
      <c r="M151" s="2841" t="s">
        <v>96</v>
      </c>
      <c r="N151" s="2827" t="s">
        <v>97</v>
      </c>
      <c r="O151" s="2839" t="s">
        <v>100</v>
      </c>
      <c r="P151" s="948"/>
      <c r="Q151" s="948"/>
      <c r="AF151" s="1951"/>
    </row>
    <row r="152" spans="1:32" ht="15.75" thickBot="1" x14ac:dyDescent="0.3">
      <c r="A152" s="26"/>
      <c r="B152" s="1004" t="s">
        <v>348</v>
      </c>
      <c r="C152" s="2184">
        <v>7875</v>
      </c>
      <c r="D152" s="308" t="s">
        <v>106</v>
      </c>
      <c r="E152" s="285" t="s">
        <v>106</v>
      </c>
      <c r="F152" s="2802" t="s">
        <v>386</v>
      </c>
      <c r="G152" s="2803"/>
      <c r="H152" s="2803"/>
      <c r="I152" s="2803"/>
      <c r="J152" s="2804"/>
      <c r="M152" s="2842"/>
      <c r="N152" s="2828"/>
      <c r="O152" s="2840"/>
      <c r="P152" s="976" t="s">
        <v>99</v>
      </c>
      <c r="Q152" s="977"/>
      <c r="AF152" s="1951"/>
    </row>
    <row r="153" spans="1:32" ht="15.75" thickBot="1" x14ac:dyDescent="0.3">
      <c r="A153" s="324">
        <v>72</v>
      </c>
      <c r="B153" s="2929" t="s">
        <v>349</v>
      </c>
      <c r="C153" s="2930"/>
      <c r="D153" s="405">
        <f>IF(AND(D$151="Ja",D$152="Ja"),$C$151+$C$152,IF(AND(D$151="Ja",D$152="Nee"),$C$151,IF(AND(D$151="Nee",D$152="Ja"),$C$152,0)))</f>
        <v>0</v>
      </c>
      <c r="E153" s="405">
        <f>IF(AND(E$151="Ja",E$152="Ja"),$C$151+$C$152,IF(AND(E$151="Ja",E$152="Nee"),$C$151,IF(AND(E$151="Nee",E$152="Ja"),$C$152,0)))</f>
        <v>0</v>
      </c>
      <c r="M153" s="2100">
        <v>0</v>
      </c>
      <c r="N153" s="2101">
        <v>12500</v>
      </c>
      <c r="O153" s="954">
        <v>0</v>
      </c>
      <c r="P153" s="2102">
        <v>0</v>
      </c>
      <c r="Q153" s="977"/>
      <c r="AF153" s="1951"/>
    </row>
    <row r="154" spans="1:32" x14ac:dyDescent="0.25">
      <c r="M154" s="978">
        <f>N153</f>
        <v>12500</v>
      </c>
      <c r="N154" s="700">
        <v>25000</v>
      </c>
      <c r="O154" s="701">
        <v>1E-3</v>
      </c>
      <c r="P154" s="2103">
        <v>0</v>
      </c>
      <c r="Q154" s="977"/>
      <c r="AF154" s="1951"/>
    </row>
    <row r="155" spans="1:32" ht="15.75" thickBot="1" x14ac:dyDescent="0.3">
      <c r="A155" s="3">
        <v>73</v>
      </c>
      <c r="B155" s="282" t="s">
        <v>16</v>
      </c>
      <c r="C155" s="498" t="s">
        <v>998</v>
      </c>
      <c r="M155" s="978">
        <f>N154</f>
        <v>25000</v>
      </c>
      <c r="N155" s="700">
        <v>50000</v>
      </c>
      <c r="O155" s="701">
        <v>2E-3</v>
      </c>
      <c r="P155" s="2103">
        <v>0</v>
      </c>
      <c r="Q155" s="977"/>
      <c r="AF155" s="1951"/>
    </row>
    <row r="156" spans="1:32" ht="15.75" thickBot="1" x14ac:dyDescent="0.3">
      <c r="A156" s="54" t="s">
        <v>223</v>
      </c>
      <c r="B156" s="283" t="s">
        <v>351</v>
      </c>
      <c r="C156" s="284" t="s">
        <v>357</v>
      </c>
      <c r="D156" s="23" t="str">
        <f>BGPartner_AP</f>
        <v>A. Plichtig</v>
      </c>
      <c r="E156" s="18" t="str">
        <f>BGPartner_AG</f>
        <v>A. Gerechtigd</v>
      </c>
      <c r="F156" s="2755" t="s">
        <v>315</v>
      </c>
      <c r="G156" s="2756"/>
      <c r="H156" s="2756"/>
      <c r="I156" s="2756"/>
      <c r="J156" s="2705"/>
      <c r="M156" s="978">
        <f>N155</f>
        <v>50000</v>
      </c>
      <c r="N156" s="700">
        <v>75000</v>
      </c>
      <c r="O156" s="701">
        <v>2.5000000000000001E-3</v>
      </c>
      <c r="P156" s="2103">
        <v>0</v>
      </c>
      <c r="Q156" s="977"/>
      <c r="AF156" s="1951"/>
    </row>
    <row r="157" spans="1:32" x14ac:dyDescent="0.25">
      <c r="A157" s="56">
        <v>1</v>
      </c>
      <c r="B157" s="1005" t="s">
        <v>352</v>
      </c>
      <c r="C157" s="1318">
        <v>0</v>
      </c>
      <c r="D157" s="277" t="s">
        <v>106</v>
      </c>
      <c r="E157" s="277" t="s">
        <v>106</v>
      </c>
      <c r="F157" s="2920" t="s">
        <v>386</v>
      </c>
      <c r="G157" s="2921"/>
      <c r="H157" s="2921"/>
      <c r="I157" s="2921"/>
      <c r="J157" s="2922"/>
      <c r="M157" s="978">
        <f>N156</f>
        <v>75000</v>
      </c>
      <c r="N157" s="700">
        <v>1330000</v>
      </c>
      <c r="O157" s="701">
        <v>3.5000000000000001E-3</v>
      </c>
      <c r="P157" s="2103">
        <v>0</v>
      </c>
      <c r="Q157" s="977"/>
      <c r="R157" s="2"/>
      <c r="AF157" s="1951"/>
    </row>
    <row r="158" spans="1:32" ht="15.75" thickBot="1" x14ac:dyDescent="0.3">
      <c r="A158" s="25">
        <v>2</v>
      </c>
      <c r="B158" s="1006" t="s">
        <v>353</v>
      </c>
      <c r="C158" s="1319">
        <v>1.2500000000000001E-2</v>
      </c>
      <c r="D158" s="85" t="s">
        <v>106</v>
      </c>
      <c r="E158" s="85" t="s">
        <v>106</v>
      </c>
      <c r="F158" s="2923"/>
      <c r="G158" s="2924"/>
      <c r="H158" s="2924"/>
      <c r="I158" s="2924"/>
      <c r="J158" s="2925"/>
      <c r="M158" s="979">
        <f>N157</f>
        <v>1330000</v>
      </c>
      <c r="N158" s="702" t="s">
        <v>68</v>
      </c>
      <c r="O158" s="681">
        <v>2.35E-2</v>
      </c>
      <c r="P158" s="980">
        <v>4655</v>
      </c>
      <c r="Q158" s="977"/>
      <c r="R158" s="2"/>
      <c r="AF158" s="1951"/>
    </row>
    <row r="159" spans="1:32" x14ac:dyDescent="0.25">
      <c r="A159" s="25">
        <v>3</v>
      </c>
      <c r="B159" s="1006" t="s">
        <v>354</v>
      </c>
      <c r="C159" s="1319">
        <v>0.02</v>
      </c>
      <c r="D159" s="85" t="s">
        <v>106</v>
      </c>
      <c r="E159" s="85" t="s">
        <v>106</v>
      </c>
      <c r="F159" s="2923"/>
      <c r="G159" s="2924"/>
      <c r="H159" s="2924"/>
      <c r="I159" s="2924"/>
      <c r="J159" s="2925"/>
      <c r="AF159" s="1951"/>
    </row>
    <row r="160" spans="1:32" x14ac:dyDescent="0.25">
      <c r="A160" s="25">
        <v>4</v>
      </c>
      <c r="B160" s="1006" t="s">
        <v>355</v>
      </c>
      <c r="C160" s="1319">
        <v>0.03</v>
      </c>
      <c r="D160" s="85" t="s">
        <v>106</v>
      </c>
      <c r="E160" s="85" t="s">
        <v>106</v>
      </c>
      <c r="F160" s="2923"/>
      <c r="G160" s="2924"/>
      <c r="H160" s="2924"/>
      <c r="I160" s="2924"/>
      <c r="J160" s="2925"/>
      <c r="AF160" s="1951"/>
    </row>
    <row r="161" spans="1:32" ht="15.75" thickBot="1" x14ac:dyDescent="0.3">
      <c r="A161" s="27">
        <v>5</v>
      </c>
      <c r="B161" s="1007" t="s">
        <v>356</v>
      </c>
      <c r="C161" s="1320">
        <v>0.04</v>
      </c>
      <c r="D161" s="285" t="s">
        <v>106</v>
      </c>
      <c r="E161" s="285" t="s">
        <v>106</v>
      </c>
      <c r="F161" s="2926"/>
      <c r="G161" s="2927"/>
      <c r="H161" s="2927"/>
      <c r="I161" s="2927"/>
      <c r="J161" s="2928"/>
      <c r="AF161" s="1951"/>
    </row>
    <row r="162" spans="1:32" ht="15.75" thickBot="1" x14ac:dyDescent="0.3">
      <c r="A162" s="147"/>
      <c r="B162" s="2935" t="s">
        <v>358</v>
      </c>
      <c r="C162" s="2936"/>
      <c r="D162" s="290">
        <f>IF(D161="Ja",$C161,IF(D160="Ja",$C160,IF(D159="Ja",$C159,IF(D158="Ja",$C158,IF(D157="Ja",$C157,0)))))</f>
        <v>0</v>
      </c>
      <c r="E162" s="290">
        <f>IF(E161="Ja",$C161,IF(E160="Ja",$C160,IF(E159="Ja",$C159,IF(E158="Ja",$C158,IF(E157="Ja",$C157,0)))))</f>
        <v>0</v>
      </c>
      <c r="AF162" s="1951"/>
    </row>
    <row r="163" spans="1:32" x14ac:dyDescent="0.25">
      <c r="AF163" s="1951"/>
    </row>
    <row r="164" spans="1:32" ht="15.75" thickBot="1" x14ac:dyDescent="0.3">
      <c r="B164" s="282" t="s">
        <v>619</v>
      </c>
      <c r="C164" s="2"/>
      <c r="AF164" s="1951"/>
    </row>
    <row r="165" spans="1:32" ht="15.75" customHeight="1" thickBot="1" x14ac:dyDescent="0.3">
      <c r="A165" s="147">
        <v>74</v>
      </c>
      <c r="B165" s="1041" t="s">
        <v>333</v>
      </c>
      <c r="C165" s="1042">
        <v>0.127</v>
      </c>
      <c r="L165" s="393" t="s">
        <v>831</v>
      </c>
      <c r="AF165" s="1951"/>
    </row>
    <row r="166" spans="1:32" ht="15.75" thickBot="1" x14ac:dyDescent="0.3">
      <c r="L166" s="5" t="s">
        <v>8</v>
      </c>
      <c r="M166" s="1068" t="s">
        <v>70</v>
      </c>
      <c r="N166" s="1043"/>
      <c r="O166" s="1044"/>
      <c r="AF166" s="1951"/>
    </row>
    <row r="167" spans="1:32" ht="15.75" customHeight="1" thickBot="1" x14ac:dyDescent="0.3">
      <c r="B167" s="2932" t="s">
        <v>824</v>
      </c>
      <c r="C167" s="2933"/>
      <c r="D167" s="2934"/>
      <c r="E167" s="1508" t="s">
        <v>106</v>
      </c>
      <c r="L167" s="56"/>
      <c r="M167" s="1046" t="s">
        <v>624</v>
      </c>
      <c r="N167" s="1046"/>
      <c r="O167" s="1058"/>
      <c r="P167" s="277" t="s">
        <v>1039</v>
      </c>
      <c r="Q167" s="866" t="s">
        <v>737</v>
      </c>
      <c r="AF167" s="1951"/>
    </row>
    <row r="168" spans="1:32" ht="15" customHeight="1" thickBot="1" x14ac:dyDescent="0.3">
      <c r="B168" s="866"/>
      <c r="C168" s="866"/>
      <c r="L168" s="25"/>
      <c r="M168" s="1045" t="s">
        <v>650</v>
      </c>
      <c r="N168" s="1045"/>
      <c r="O168" s="350"/>
      <c r="P168" s="85" t="s">
        <v>106</v>
      </c>
      <c r="Q168" s="866" t="s">
        <v>737</v>
      </c>
      <c r="AF168" s="1951"/>
    </row>
    <row r="169" spans="1:32" ht="16.5" customHeight="1" thickBot="1" x14ac:dyDescent="0.3">
      <c r="E169" s="1067" t="str">
        <f>IF(BGOEWRekenModule="Nee","--",IF($P$167=$P$183,"Verlater","Blijver"))</f>
        <v>--</v>
      </c>
      <c r="F169" s="1067" t="str">
        <f>IF(BGOEWRekenModule="Nee","--",IF($P$167=$Q$183,"Verlater","Blijver"))</f>
        <v>--</v>
      </c>
      <c r="L169" s="25">
        <v>82</v>
      </c>
      <c r="M169" s="1045" t="s">
        <v>629</v>
      </c>
      <c r="N169" s="1045"/>
      <c r="O169" s="350"/>
      <c r="P169" s="1160">
        <f>C174</f>
        <v>0</v>
      </c>
      <c r="Q169" s="866"/>
      <c r="AF169" s="1951"/>
    </row>
    <row r="170" spans="1:32" ht="15.75" thickBot="1" x14ac:dyDescent="0.3">
      <c r="E170" s="2704" t="s">
        <v>157</v>
      </c>
      <c r="F170" s="2733"/>
      <c r="H170" s="46"/>
      <c r="I170" s="46"/>
      <c r="J170" s="46"/>
      <c r="L170" s="25">
        <v>82</v>
      </c>
      <c r="M170" s="1045" t="s">
        <v>648</v>
      </c>
      <c r="N170" s="1045"/>
      <c r="O170" s="350"/>
      <c r="P170" s="1160">
        <f>D174</f>
        <v>0</v>
      </c>
      <c r="Q170" s="15" t="s">
        <v>628</v>
      </c>
      <c r="AF170" s="1951"/>
    </row>
    <row r="171" spans="1:32" x14ac:dyDescent="0.25">
      <c r="E171" s="2818" t="str">
        <f>BGPartner_AP</f>
        <v>A. Plichtig</v>
      </c>
      <c r="F171" s="2868" t="str">
        <f>BGPartner_AG</f>
        <v>A. Gerechtigd</v>
      </c>
      <c r="H171" s="46"/>
      <c r="I171" s="46"/>
      <c r="J171" s="46"/>
      <c r="L171" s="25">
        <v>83</v>
      </c>
      <c r="M171" s="1045" t="s">
        <v>627</v>
      </c>
      <c r="N171" s="1045"/>
      <c r="O171" s="350"/>
      <c r="P171" s="800">
        <f>C176*12</f>
        <v>0</v>
      </c>
      <c r="Q171" s="15" t="s">
        <v>628</v>
      </c>
      <c r="AF171" s="1951"/>
    </row>
    <row r="172" spans="1:32" ht="16.5" customHeight="1" thickBot="1" x14ac:dyDescent="0.3">
      <c r="B172" s="608" t="str">
        <f>IF(BGOEWRekenModule="Ja","Onverdeeld Eigen Woning (OEW)","Eigen woningbezit "&amp;BGPartner_AP&amp;" (indien van toepassing)")</f>
        <v>Eigen woningbezit A. Plichtig (indien van toepassing)</v>
      </c>
      <c r="E172" s="2819"/>
      <c r="F172" s="2869"/>
      <c r="H172" s="46"/>
      <c r="I172" s="46"/>
      <c r="J172" s="46"/>
      <c r="L172" s="25">
        <v>83</v>
      </c>
      <c r="M172" s="1045" t="s">
        <v>626</v>
      </c>
      <c r="N172" s="1045"/>
      <c r="O172" s="350"/>
      <c r="P172" s="85" t="s">
        <v>647</v>
      </c>
      <c r="Q172" s="866" t="s">
        <v>737</v>
      </c>
      <c r="AF172" s="1951"/>
    </row>
    <row r="173" spans="1:32" ht="15.75" thickBot="1" x14ac:dyDescent="0.3">
      <c r="A173" s="8" t="s">
        <v>223</v>
      </c>
      <c r="B173" s="148" t="s">
        <v>101</v>
      </c>
      <c r="C173" s="8" t="s">
        <v>95</v>
      </c>
      <c r="D173" s="48" t="s">
        <v>98</v>
      </c>
      <c r="E173" s="2820"/>
      <c r="F173" s="2870"/>
      <c r="G173" s="2860" t="s">
        <v>907</v>
      </c>
      <c r="H173" s="2861"/>
      <c r="I173" s="2861"/>
      <c r="J173" s="2862"/>
      <c r="L173" s="25">
        <v>138</v>
      </c>
      <c r="M173" s="1045" t="str">
        <f>"Wie betaald de aflossing a € "&amp;C175</f>
        <v>Wie betaald de aflossing a € 0</v>
      </c>
      <c r="N173" s="1045"/>
      <c r="O173" s="350"/>
      <c r="P173" s="85" t="s">
        <v>647</v>
      </c>
      <c r="Q173" s="866" t="s">
        <v>737</v>
      </c>
      <c r="AF173" s="1951"/>
    </row>
    <row r="174" spans="1:32" ht="15.75" thickBot="1" x14ac:dyDescent="0.3">
      <c r="A174" s="59">
        <v>82</v>
      </c>
      <c r="B174" s="96" t="s">
        <v>102</v>
      </c>
      <c r="C174" s="31">
        <v>0</v>
      </c>
      <c r="D174" s="594">
        <f>IF($C$174&gt;M158,P158+(O158*$C$174),IF(AND($C$174&gt;M157,$C$174&lt;=N157),O157*$C$174,IF(AND($C$174&gt;M156,$C$174&lt;=N156),O156*$C$174,IF(AND($C$174&gt;M155,$C$174&lt;=N155),O155*$C$174,IF(AND($C$174&gt;M154,$C$174&lt;=N154),O154*$C$174,IF(AND($C$174&gt;M153,$C$174&lt;=N153),O153*$C$174,0))))))</f>
        <v>0</v>
      </c>
      <c r="E174" s="795">
        <f>IF(BGOEWRekenModule="Ja","Zie OEW",D174-F174)</f>
        <v>0</v>
      </c>
      <c r="F174" s="1066">
        <v>0</v>
      </c>
      <c r="G174" s="2790"/>
      <c r="H174" s="2863"/>
      <c r="I174" s="2863"/>
      <c r="J174" s="2864"/>
      <c r="L174" s="25">
        <v>84</v>
      </c>
      <c r="M174" s="1045" t="str">
        <f>"Wie betaald periode betaling erfpacht a € "&amp;D179&amp;",- ?"</f>
        <v>Wie betaald periode betaling erfpacht a € 0,- ?</v>
      </c>
      <c r="N174" s="1045"/>
      <c r="O174" s="350"/>
      <c r="P174" s="85" t="s">
        <v>647</v>
      </c>
      <c r="Q174" s="866" t="s">
        <v>737</v>
      </c>
      <c r="AF174" s="1951"/>
    </row>
    <row r="175" spans="1:32" ht="15" customHeight="1" thickBot="1" x14ac:dyDescent="0.3">
      <c r="A175" s="58">
        <v>123</v>
      </c>
      <c r="B175" s="133" t="s">
        <v>664</v>
      </c>
      <c r="C175" s="32">
        <v>0</v>
      </c>
      <c r="D175" s="23" t="s">
        <v>130</v>
      </c>
      <c r="E175" s="297">
        <f>IF(BGOEWRekenModule="Ja","Zie OEW",C175-F175)</f>
        <v>0</v>
      </c>
      <c r="F175" s="1196">
        <v>0</v>
      </c>
      <c r="G175" s="2790"/>
      <c r="H175" s="2863"/>
      <c r="I175" s="2863"/>
      <c r="J175" s="2864"/>
      <c r="L175" s="25"/>
      <c r="M175" s="1045" t="str">
        <f>"Wie betaald de fofaitaire eigenaarslasten a € "&amp;E257&amp;",- ?"</f>
        <v>Wie betaald de fofaitaire eigenaarslasten a € 95,- ?</v>
      </c>
      <c r="N175" s="1045"/>
      <c r="O175" s="350"/>
      <c r="P175" s="85" t="s">
        <v>647</v>
      </c>
      <c r="Q175" s="866" t="s">
        <v>737</v>
      </c>
      <c r="AF175" s="1951"/>
    </row>
    <row r="176" spans="1:32" ht="15.75" thickBot="1" x14ac:dyDescent="0.3">
      <c r="A176" s="58">
        <v>83</v>
      </c>
      <c r="B176" s="133" t="s">
        <v>669</v>
      </c>
      <c r="C176" s="32">
        <v>0</v>
      </c>
      <c r="D176" s="884">
        <f>C175+C176</f>
        <v>0</v>
      </c>
      <c r="E176" s="1199">
        <f>IF(BGOEWRekenModule="Ja","Zie OEW",C176-F176)</f>
        <v>0</v>
      </c>
      <c r="F176" s="1066">
        <v>0</v>
      </c>
      <c r="G176" s="2790"/>
      <c r="H176" s="2863"/>
      <c r="I176" s="2863"/>
      <c r="J176" s="2864"/>
      <c r="L176" s="25"/>
      <c r="M176" s="1045" t="s">
        <v>630</v>
      </c>
      <c r="N176" s="1045"/>
      <c r="O176" s="350"/>
      <c r="P176" s="32">
        <v>0</v>
      </c>
      <c r="Q176" s="866"/>
      <c r="AF176" s="1951"/>
    </row>
    <row r="177" spans="1:32" ht="15.75" customHeight="1" thickBot="1" x14ac:dyDescent="0.3">
      <c r="A177" s="152">
        <v>83</v>
      </c>
      <c r="B177" s="97" t="s">
        <v>971</v>
      </c>
      <c r="C177" s="35">
        <v>0</v>
      </c>
      <c r="D177" s="320"/>
      <c r="E177" s="596">
        <f>C177-F177</f>
        <v>0</v>
      </c>
      <c r="F177" s="1201">
        <v>0</v>
      </c>
      <c r="G177" s="2790"/>
      <c r="H177" s="2863"/>
      <c r="I177" s="2863"/>
      <c r="J177" s="2864"/>
      <c r="L177" s="27"/>
      <c r="M177" s="1047" t="s">
        <v>631</v>
      </c>
      <c r="N177" s="1047"/>
      <c r="O177" s="1059"/>
      <c r="P177" s="914" t="s">
        <v>57</v>
      </c>
      <c r="Q177" s="866" t="s">
        <v>737</v>
      </c>
      <c r="AF177" s="1951"/>
    </row>
    <row r="178" spans="1:32" ht="15.75" thickBot="1" x14ac:dyDescent="0.3">
      <c r="A178" s="147">
        <v>83</v>
      </c>
      <c r="B178" s="2879" t="s">
        <v>736</v>
      </c>
      <c r="C178" s="2931"/>
      <c r="D178" s="1193">
        <f>IF(BG083HypRenteWoning1="Zie OEW",C177,(C176*12)+C177)</f>
        <v>0</v>
      </c>
      <c r="E178" s="1194">
        <f>D178-F178</f>
        <v>0</v>
      </c>
      <c r="F178" s="1197">
        <f>(F176*12)+F177</f>
        <v>0</v>
      </c>
      <c r="G178" s="2790"/>
      <c r="H178" s="2863"/>
      <c r="I178" s="2863"/>
      <c r="J178" s="2864"/>
      <c r="M178" s="1060" t="s">
        <v>649</v>
      </c>
      <c r="N178" s="1061"/>
      <c r="O178" s="1061"/>
      <c r="P178" s="82"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Q178" s="866"/>
      <c r="AF178" s="1951"/>
    </row>
    <row r="179" spans="1:32" ht="15.75" thickBot="1" x14ac:dyDescent="0.3">
      <c r="A179" s="147">
        <v>84</v>
      </c>
      <c r="B179" s="149" t="s">
        <v>665</v>
      </c>
      <c r="C179" s="47">
        <v>0</v>
      </c>
      <c r="D179" s="885">
        <f>C179*12</f>
        <v>0</v>
      </c>
      <c r="E179" s="1497">
        <f>IF(BGOEWRekenModule="Ja","Zie OEW",C179-F179)</f>
        <v>0</v>
      </c>
      <c r="F179" s="1202">
        <v>0</v>
      </c>
      <c r="G179" s="2865"/>
      <c r="H179" s="2866"/>
      <c r="I179" s="2866"/>
      <c r="J179" s="2867"/>
      <c r="AF179" s="1951"/>
    </row>
    <row r="180" spans="1:32" ht="15.75" thickBot="1" x14ac:dyDescent="0.3">
      <c r="E180" s="319"/>
      <c r="T180" s="1340" t="str">
        <f>"Te gebruiken OEW-situatie: "&amp;BGOEWSituatie1_5</f>
        <v>Te gebruiken OEW-situatie: Situatie 3</v>
      </c>
      <c r="U180" s="1341"/>
      <c r="V180" s="1358" t="s">
        <v>643</v>
      </c>
      <c r="W180" s="1341"/>
      <c r="X180" s="1358" t="s">
        <v>644</v>
      </c>
      <c r="Y180" s="1358"/>
      <c r="Z180" s="1340" t="s">
        <v>645</v>
      </c>
      <c r="AA180" s="1359"/>
      <c r="AB180" s="1358" t="s">
        <v>646</v>
      </c>
      <c r="AC180" s="1359"/>
      <c r="AD180" s="1340" t="s">
        <v>906</v>
      </c>
      <c r="AE180" s="1359"/>
      <c r="AF180" s="1951"/>
    </row>
    <row r="181" spans="1:32" ht="15" customHeight="1" thickBot="1" x14ac:dyDescent="0.3">
      <c r="B181" s="92" t="s">
        <v>732</v>
      </c>
      <c r="P181" s="1102" t="str">
        <f>IF(BGOEWRekenModule="Nee","--",IF($P$167=$P$183,"Verlater","Blijver"))</f>
        <v>--</v>
      </c>
      <c r="Q181" s="1067" t="str">
        <f>IF(BGOEWRekenModule="Nee","--",IF($P$167=$Q$183,"Verlater","Blijver"))</f>
        <v>--</v>
      </c>
      <c r="T181" s="1063" t="str">
        <f ca="1">IF(BGOEWSituatie1_5="Onbekend","--",OFFSET(T181,,2+MATCH(BGOEWSituatie1_5,V$180:AE$180,0)-1))</f>
        <v>Ieder betaald de helft van de rente</v>
      </c>
      <c r="U181" s="1354"/>
      <c r="V181" s="1355" t="s">
        <v>640</v>
      </c>
      <c r="W181" s="1354"/>
      <c r="X181" s="1355" t="s">
        <v>640</v>
      </c>
      <c r="Y181" s="1355"/>
      <c r="Z181" s="1356" t="s">
        <v>641</v>
      </c>
      <c r="AA181" s="1357"/>
      <c r="AB181" s="1355" t="s">
        <v>642</v>
      </c>
      <c r="AC181" s="1357"/>
      <c r="AD181" s="1950" t="s">
        <v>642</v>
      </c>
      <c r="AE181" s="1357"/>
      <c r="AF181" s="1951"/>
    </row>
    <row r="182" spans="1:32" ht="15.75" thickBot="1" x14ac:dyDescent="0.3">
      <c r="B182" s="1313" t="str">
        <f>"Afbouw % bij geen/kleine eigenwoningschuld in "&amp;BGJaarBerekening</f>
        <v>Afbouw % bij geen/kleine eigenwoningschuld in 2025</v>
      </c>
      <c r="C182" s="2181">
        <v>0.76666999999999996</v>
      </c>
      <c r="M182" s="1090"/>
      <c r="N182" s="1091"/>
      <c r="O182" s="1089" t="s">
        <v>670</v>
      </c>
      <c r="P182" s="1103">
        <f>AL41_50BrutoInkomen_AP+AL60Arbeidsinkomen_AP</f>
        <v>0</v>
      </c>
      <c r="Q182" s="1108">
        <f>AL41_50BrutoInkomen_AG+AL60Arbeidsinkomen_AG</f>
        <v>0</v>
      </c>
      <c r="R182" s="866" t="s">
        <v>925</v>
      </c>
      <c r="T182" s="1063" t="str">
        <f ca="1">IF(BGOEWSituatie1_5="Onbekend","--",OFFSET(T182,,2+MATCH(BGOEWSituatie1_5,V$180:AE$180,0)-1))</f>
        <v>Draagkracht of draagkrachtloos inkomen</v>
      </c>
      <c r="U182" s="1052"/>
      <c r="V182" s="1117" t="s">
        <v>57</v>
      </c>
      <c r="W182" s="1052"/>
      <c r="X182" s="1051" t="s">
        <v>283</v>
      </c>
      <c r="Y182" s="1051"/>
      <c r="Z182" s="1049" t="s">
        <v>639</v>
      </c>
      <c r="AA182" s="1050"/>
      <c r="AB182" s="1051" t="s">
        <v>57</v>
      </c>
      <c r="AC182" s="1050"/>
      <c r="AD182" s="1049" t="s">
        <v>283</v>
      </c>
      <c r="AE182" s="1050"/>
      <c r="AF182" s="1951"/>
    </row>
    <row r="183" spans="1:32" ht="15.75" thickBot="1" x14ac:dyDescent="0.3">
      <c r="E183" s="2704" t="s">
        <v>157</v>
      </c>
      <c r="F183" s="2733"/>
      <c r="I183" s="17"/>
      <c r="L183" s="54" t="s">
        <v>8</v>
      </c>
      <c r="M183" s="1095" t="s">
        <v>70</v>
      </c>
      <c r="N183" s="1096"/>
      <c r="O183" s="1096"/>
      <c r="P183" s="1101" t="str">
        <f>BGPartner_AP</f>
        <v>A. Plichtig</v>
      </c>
      <c r="Q183" s="1048" t="str">
        <f>BGPartner_AG</f>
        <v>A. Gerechtigd</v>
      </c>
      <c r="R183" s="1149" t="s">
        <v>651</v>
      </c>
      <c r="S183" s="1113" t="s">
        <v>70</v>
      </c>
      <c r="T183" s="54" t="s">
        <v>637</v>
      </c>
      <c r="U183" s="1421" t="s">
        <v>638</v>
      </c>
      <c r="V183" s="1422" t="s">
        <v>637</v>
      </c>
      <c r="W183" s="1421" t="s">
        <v>638</v>
      </c>
      <c r="X183" s="1422" t="s">
        <v>637</v>
      </c>
      <c r="Y183" s="55" t="s">
        <v>638</v>
      </c>
      <c r="Z183" s="54" t="s">
        <v>637</v>
      </c>
      <c r="AA183" s="1421" t="s">
        <v>638</v>
      </c>
      <c r="AB183" s="1422" t="s">
        <v>637</v>
      </c>
      <c r="AC183" s="1421" t="s">
        <v>638</v>
      </c>
      <c r="AD183" s="5" t="s">
        <v>637</v>
      </c>
      <c r="AE183" s="102" t="s">
        <v>638</v>
      </c>
      <c r="AF183" s="1951"/>
    </row>
    <row r="184" spans="1:32" ht="15" customHeight="1" x14ac:dyDescent="0.25">
      <c r="E184" s="2868" t="str">
        <f>BGPartner_AG</f>
        <v>A. Gerechtigd</v>
      </c>
      <c r="F184" s="2868" t="str">
        <f>BGPartner_AP</f>
        <v>A. Plichtig</v>
      </c>
      <c r="L184" s="569">
        <v>81</v>
      </c>
      <c r="M184" s="1087" t="s">
        <v>657</v>
      </c>
      <c r="N184" s="1046"/>
      <c r="O184" s="1046"/>
      <c r="P184" s="1104">
        <f t="shared" ref="P184:Q188" ca="1" si="48">IF(P$181=$T$183,$T184*BGOEWEWF,$U184*BGOEWEWF)</f>
        <v>0</v>
      </c>
      <c r="Q184" s="1109">
        <f t="shared" ca="1" si="48"/>
        <v>0</v>
      </c>
      <c r="R184" s="1150" t="s">
        <v>653</v>
      </c>
      <c r="S184" s="1146" t="str">
        <f t="shared" ref="S184:S195" si="49">M184</f>
        <v>Eigen Woning Forfait ontvangen als partneralimentatie</v>
      </c>
      <c r="T184" s="1123">
        <f ca="1">IF(OR(BGOEWRekenModule="Nee",BGOEWSituatie1_5="Onbekend"),0,OFFSET(T184,,2+MATCH(BGOEWSituatie1_5,V180:AE180,0)-1))</f>
        <v>0</v>
      </c>
      <c r="U184" s="1124">
        <f t="shared" ref="U184:U195" ca="1" si="50">IF(OR(BGOEWRekenModule="Nee",BGOEWSituatie1_5="Onbekend"),0,OFFSET(U184,,2+MATCH(BGOEWSituatie1_5,V$180:AE$180,0)-1))</f>
        <v>0</v>
      </c>
      <c r="V184" s="1884">
        <v>0</v>
      </c>
      <c r="W184" s="1360">
        <v>0.5</v>
      </c>
      <c r="X184" s="1118">
        <v>0</v>
      </c>
      <c r="Y184" s="1887">
        <v>0.5</v>
      </c>
      <c r="Z184" s="1884">
        <v>0</v>
      </c>
      <c r="AA184" s="1360">
        <v>0.5</v>
      </c>
      <c r="AB184" s="1118">
        <v>0</v>
      </c>
      <c r="AC184" s="1360">
        <v>0.5</v>
      </c>
      <c r="AD184" s="1118">
        <v>0</v>
      </c>
      <c r="AE184" s="1360">
        <v>0.5</v>
      </c>
      <c r="AF184" s="1951"/>
    </row>
    <row r="185" spans="1:32" ht="16.5" thickBot="1" x14ac:dyDescent="0.3">
      <c r="B185" s="608" t="str">
        <f>CONCATENATE("Eigen woningbezit ",D4," (indien van toepassing)")</f>
        <v>Eigen woningbezit A. Gerechtigd (indien van toepassing)</v>
      </c>
      <c r="E185" s="2869"/>
      <c r="F185" s="2869"/>
      <c r="L185" s="254" t="s">
        <v>634</v>
      </c>
      <c r="M185" s="1088" t="s">
        <v>658</v>
      </c>
      <c r="N185" s="1045"/>
      <c r="O185" s="1045"/>
      <c r="P185" s="1105">
        <f t="shared" ca="1" si="48"/>
        <v>0</v>
      </c>
      <c r="Q185" s="1110">
        <f t="shared" ca="1" si="48"/>
        <v>0</v>
      </c>
      <c r="R185" s="1151" t="s">
        <v>653</v>
      </c>
      <c r="S185" s="1147" t="str">
        <f t="shared" si="49"/>
        <v>Eigen Woning Forfait van de Onverdeeld Eigen Woning</v>
      </c>
      <c r="T185" s="1125">
        <f t="shared" ref="T185:T195" ca="1" si="51">IF(OR(BGOEWRekenModule="Nee",BGOEWSituatie1_5="Onbekend"),0,OFFSET(T185,,2+MATCH(BGOEWSituatie1_5,V$180:AE$180,0)-1))</f>
        <v>0</v>
      </c>
      <c r="U185" s="1126">
        <f t="shared" ca="1" si="50"/>
        <v>0</v>
      </c>
      <c r="V185" s="1125">
        <f>IF(BGOEW24MndTermijn="Nee",0.5,0)</f>
        <v>0.5</v>
      </c>
      <c r="W185" s="1361">
        <v>0.5</v>
      </c>
      <c r="X185" s="1119">
        <f>IF(BGOEW24MndTermijn="Nee",0.5,0)</f>
        <v>0.5</v>
      </c>
      <c r="Y185" s="1888">
        <v>0.5</v>
      </c>
      <c r="Z185" s="1125">
        <f>IF(BGOEW24MndTermijn="Nee",0.5,0)</f>
        <v>0.5</v>
      </c>
      <c r="AA185" s="1361">
        <v>0.5</v>
      </c>
      <c r="AB185" s="1119">
        <f>IF(BGOEW24MndTermijn="Nee",0.5,0)</f>
        <v>0.5</v>
      </c>
      <c r="AC185" s="1361">
        <v>0.5</v>
      </c>
      <c r="AD185" s="1119">
        <f>IF(BGOEW24MndTermijn="Nee",0.5,0)</f>
        <v>0.5</v>
      </c>
      <c r="AE185" s="1361">
        <v>0.5</v>
      </c>
      <c r="AF185" s="1951"/>
    </row>
    <row r="186" spans="1:32" ht="15.75" thickBot="1" x14ac:dyDescent="0.3">
      <c r="A186" s="8" t="s">
        <v>223</v>
      </c>
      <c r="B186" s="148" t="s">
        <v>101</v>
      </c>
      <c r="C186" s="8" t="s">
        <v>95</v>
      </c>
      <c r="D186" s="48" t="s">
        <v>98</v>
      </c>
      <c r="E186" s="2870"/>
      <c r="F186" s="2870"/>
      <c r="L186" s="254" t="s">
        <v>620</v>
      </c>
      <c r="M186" s="1088" t="s">
        <v>659</v>
      </c>
      <c r="N186" s="1045"/>
      <c r="O186" s="1045"/>
      <c r="P186" s="1105">
        <f t="shared" ca="1" si="48"/>
        <v>0</v>
      </c>
      <c r="Q186" s="1110">
        <f t="shared" ca="1" si="48"/>
        <v>0</v>
      </c>
      <c r="R186" s="1152" t="s">
        <v>655</v>
      </c>
      <c r="S186" s="1147" t="str">
        <f t="shared" si="49"/>
        <v>Eigen Woning Forfait betaald als partneralimentatie</v>
      </c>
      <c r="T186" s="1125">
        <f t="shared" ca="1" si="51"/>
        <v>0</v>
      </c>
      <c r="U186" s="1126">
        <f t="shared" ca="1" si="50"/>
        <v>0</v>
      </c>
      <c r="V186" s="1885">
        <v>0.5</v>
      </c>
      <c r="W186" s="1361">
        <v>0</v>
      </c>
      <c r="X186" s="1120">
        <v>0.5</v>
      </c>
      <c r="Y186" s="1888">
        <v>0</v>
      </c>
      <c r="Z186" s="1885">
        <v>0.5</v>
      </c>
      <c r="AA186" s="1361">
        <v>0</v>
      </c>
      <c r="AB186" s="1120">
        <v>0.5</v>
      </c>
      <c r="AC186" s="1361">
        <v>0</v>
      </c>
      <c r="AD186" s="1120">
        <v>0.5</v>
      </c>
      <c r="AE186" s="1361">
        <v>0</v>
      </c>
      <c r="AF186" s="1951"/>
    </row>
    <row r="187" spans="1:32" ht="15.75" thickBot="1" x14ac:dyDescent="0.3">
      <c r="A187" s="59">
        <v>82</v>
      </c>
      <c r="B187" s="96" t="s">
        <v>102</v>
      </c>
      <c r="C187" s="31">
        <v>0</v>
      </c>
      <c r="D187" s="594">
        <f>IF($C$187&gt;M158,P158+(O158*$C$187),IF(AND($C$187&gt;M157,$C$187&lt;=N157),O157*$C$187,IF(AND($C$187&gt;M156,$C$187&lt;=N156),O156*$C$187,IF(AND($C$187&gt;M155,$C$187&lt;=N155),O155*$C$187,IF(AND($C$187&gt;M154,$C$187&lt;=N154),O154*$C$187,IF(AND($C$187&gt;M153,$C$187&lt;=N153),O153*$C$187,0))))))</f>
        <v>0</v>
      </c>
      <c r="E187" s="595">
        <f>D187-F187</f>
        <v>0</v>
      </c>
      <c r="F187" s="67">
        <v>0</v>
      </c>
      <c r="L187" s="254">
        <v>104</v>
      </c>
      <c r="M187" s="1088" t="s">
        <v>926</v>
      </c>
      <c r="N187" s="1045"/>
      <c r="O187" s="1045"/>
      <c r="P187" s="1105">
        <f t="shared" ca="1" si="48"/>
        <v>0</v>
      </c>
      <c r="Q187" s="1110">
        <f t="shared" ca="1" si="48"/>
        <v>0</v>
      </c>
      <c r="R187" s="1151" t="s">
        <v>653</v>
      </c>
      <c r="S187" s="1147" t="str">
        <f t="shared" si="49"/>
        <v>Eigen Woning Forfait aandeel in  box 3</v>
      </c>
      <c r="T187" s="1125">
        <f t="shared" ca="1" si="51"/>
        <v>0</v>
      </c>
      <c r="U187" s="1126">
        <f t="shared" ca="1" si="50"/>
        <v>0</v>
      </c>
      <c r="V187" s="1125">
        <f>IF(BGOEW24MndTermijn="Nee",0,0.5)</f>
        <v>0</v>
      </c>
      <c r="W187" s="1361">
        <v>0</v>
      </c>
      <c r="X187" s="1119">
        <f>IF(BGOEW24MndTermijn="Nee",0,0.5)</f>
        <v>0</v>
      </c>
      <c r="Y187" s="1888">
        <v>0</v>
      </c>
      <c r="Z187" s="1125">
        <f>IF(BGOEW24MndTermijn="Nee",0,0.5)</f>
        <v>0</v>
      </c>
      <c r="AA187" s="1361">
        <v>0</v>
      </c>
      <c r="AB187" s="1119">
        <f>IF(BGOEW24MndTermijn="Nee",0,0.5)</f>
        <v>0</v>
      </c>
      <c r="AC187" s="1361">
        <v>0</v>
      </c>
      <c r="AD187" s="1119">
        <f>IF(BGOEW24MndTermijn="Nee",0,0.5)</f>
        <v>0</v>
      </c>
      <c r="AE187" s="1361">
        <v>0</v>
      </c>
      <c r="AF187" s="1951"/>
    </row>
    <row r="188" spans="1:32" ht="15.75" thickBot="1" x14ac:dyDescent="0.3">
      <c r="A188" s="58"/>
      <c r="B188" s="133" t="s">
        <v>664</v>
      </c>
      <c r="C188" s="32">
        <v>0</v>
      </c>
      <c r="D188" s="23" t="s">
        <v>130</v>
      </c>
      <c r="E188" s="1198">
        <f>C188-F188</f>
        <v>0</v>
      </c>
      <c r="F188" s="251">
        <v>0</v>
      </c>
      <c r="L188" s="1084" t="s">
        <v>636</v>
      </c>
      <c r="M188" s="392" t="s">
        <v>667</v>
      </c>
      <c r="N188" s="1047"/>
      <c r="O188" s="1047"/>
      <c r="P188" s="1106">
        <f t="shared" ca="1" si="48"/>
        <v>0</v>
      </c>
      <c r="Q188" s="1111">
        <f t="shared" ca="1" si="48"/>
        <v>0</v>
      </c>
      <c r="R188" s="1153" t="s">
        <v>653</v>
      </c>
      <c r="S188" s="1148" t="str">
        <f t="shared" si="49"/>
        <v>Eigen Woning Forfait bijdrage ZVW over EWF berekenen over</v>
      </c>
      <c r="T188" s="1127">
        <f t="shared" ca="1" si="51"/>
        <v>0</v>
      </c>
      <c r="U188" s="1128">
        <f t="shared" ca="1" si="50"/>
        <v>0</v>
      </c>
      <c r="V188" s="1886">
        <v>0</v>
      </c>
      <c r="W188" s="1362">
        <v>0.5</v>
      </c>
      <c r="X188" s="1121">
        <v>0</v>
      </c>
      <c r="Y188" s="1889">
        <v>0.5</v>
      </c>
      <c r="Z188" s="1886">
        <v>0</v>
      </c>
      <c r="AA188" s="1362">
        <v>0.5</v>
      </c>
      <c r="AB188" s="1121">
        <v>0</v>
      </c>
      <c r="AC188" s="1362">
        <v>0.5</v>
      </c>
      <c r="AD188" s="1121">
        <v>0</v>
      </c>
      <c r="AE188" s="1362">
        <v>0.5</v>
      </c>
      <c r="AF188" s="1951"/>
    </row>
    <row r="189" spans="1:32" ht="15.75" thickBot="1" x14ac:dyDescent="0.3">
      <c r="A189" s="58">
        <v>83</v>
      </c>
      <c r="B189" s="133" t="s">
        <v>669</v>
      </c>
      <c r="C189" s="32">
        <v>0</v>
      </c>
      <c r="D189" s="884">
        <f>C188+C189</f>
        <v>0</v>
      </c>
      <c r="E189" s="595">
        <f>C189-F189</f>
        <v>0</v>
      </c>
      <c r="F189" s="67">
        <v>0</v>
      </c>
      <c r="L189" s="569">
        <v>81</v>
      </c>
      <c r="M189" s="1087" t="s">
        <v>660</v>
      </c>
      <c r="N189" s="1046"/>
      <c r="O189" s="1046"/>
      <c r="P189" s="1104">
        <f t="shared" ref="P189:Q194" ca="1" si="52">IF(P$181=$T$183,$T189*BGOEWTotRente,$U189*BGOEWTotRente)</f>
        <v>0</v>
      </c>
      <c r="Q189" s="1109">
        <f t="shared" ca="1" si="52"/>
        <v>0</v>
      </c>
      <c r="R189" s="1150" t="s">
        <v>653</v>
      </c>
      <c r="S189" s="1146" t="str">
        <f t="shared" si="49"/>
        <v>Rente ontvangen als partneralimentatie</v>
      </c>
      <c r="T189" s="1123">
        <f t="shared" ca="1" si="51"/>
        <v>0</v>
      </c>
      <c r="U189" s="1124">
        <f t="shared" ca="1" si="50"/>
        <v>0</v>
      </c>
      <c r="V189" s="1884">
        <v>0</v>
      </c>
      <c r="W189" s="1360">
        <v>0.5</v>
      </c>
      <c r="X189" s="1118">
        <v>0</v>
      </c>
      <c r="Y189" s="1887">
        <v>0.5</v>
      </c>
      <c r="Z189" s="1884">
        <v>0</v>
      </c>
      <c r="AA189" s="1360">
        <v>0</v>
      </c>
      <c r="AB189" s="1118">
        <v>0.5</v>
      </c>
      <c r="AC189" s="1360">
        <v>0</v>
      </c>
      <c r="AD189" s="1118">
        <v>0.5</v>
      </c>
      <c r="AE189" s="1360">
        <v>0</v>
      </c>
      <c r="AF189" s="1951"/>
    </row>
    <row r="190" spans="1:32" ht="15.75" thickBot="1" x14ac:dyDescent="0.3">
      <c r="A190" s="152">
        <v>83</v>
      </c>
      <c r="B190" s="97" t="s">
        <v>971</v>
      </c>
      <c r="C190" s="35">
        <v>0</v>
      </c>
      <c r="D190" s="320"/>
      <c r="E190" s="207">
        <f>C190-F190</f>
        <v>0</v>
      </c>
      <c r="F190" s="68">
        <v>0</v>
      </c>
      <c r="L190" s="254" t="s">
        <v>635</v>
      </c>
      <c r="M190" s="1088" t="s">
        <v>663</v>
      </c>
      <c r="N190" s="1045"/>
      <c r="O190" s="1045"/>
      <c r="P190" s="1105">
        <f t="shared" ca="1" si="52"/>
        <v>0</v>
      </c>
      <c r="Q190" s="1110">
        <f t="shared" ca="1" si="52"/>
        <v>0</v>
      </c>
      <c r="R190" s="1152" t="s">
        <v>654</v>
      </c>
      <c r="S190" s="1147" t="str">
        <f t="shared" si="49"/>
        <v>Rente Onverdeeld Eigen Woning Eigen aandeel</v>
      </c>
      <c r="T190" s="1125">
        <f t="shared" ca="1" si="51"/>
        <v>0</v>
      </c>
      <c r="U190" s="1126">
        <f t="shared" ca="1" si="50"/>
        <v>0</v>
      </c>
      <c r="V190" s="1125">
        <f>IF(BGOEW24MndTermijn="Nee",0.5,0)</f>
        <v>0.5</v>
      </c>
      <c r="W190" s="1361">
        <v>0.5</v>
      </c>
      <c r="X190" s="1119">
        <f>IF(BGOEW24MndTermijn="Nee",0.5,0)</f>
        <v>0.5</v>
      </c>
      <c r="Y190" s="1888">
        <v>0.5</v>
      </c>
      <c r="Z190" s="1125">
        <f>IF(BGOEW24MndTermijn="Nee",0.5,0)</f>
        <v>0.5</v>
      </c>
      <c r="AA190" s="1361">
        <v>0.5</v>
      </c>
      <c r="AB190" s="1119">
        <f>IF(BGOEW24MndTermijn="Nee",0.5,0)</f>
        <v>0.5</v>
      </c>
      <c r="AC190" s="1361">
        <v>0.5</v>
      </c>
      <c r="AD190" s="1125">
        <f>IF(BGOEW24MndTermijn="Nee",0.5,0)</f>
        <v>0.5</v>
      </c>
      <c r="AE190" s="1361">
        <v>0.5</v>
      </c>
      <c r="AF190" s="1951"/>
    </row>
    <row r="191" spans="1:32" ht="15.75" customHeight="1" thickBot="1" x14ac:dyDescent="0.3">
      <c r="A191" s="147">
        <v>83</v>
      </c>
      <c r="B191" s="2879" t="s">
        <v>736</v>
      </c>
      <c r="C191" s="2880"/>
      <c r="D191" s="597">
        <f>(C189*12)+C190</f>
        <v>0</v>
      </c>
      <c r="E191" s="1194">
        <f>D191-F191</f>
        <v>0</v>
      </c>
      <c r="F191" s="1200">
        <f>(F189*12)+F190</f>
        <v>0</v>
      </c>
      <c r="L191" s="254" t="s">
        <v>635</v>
      </c>
      <c r="M191" s="1088" t="s">
        <v>662</v>
      </c>
      <c r="N191" s="1045"/>
      <c r="O191" s="1045"/>
      <c r="P191" s="1105">
        <f t="shared" ca="1" si="52"/>
        <v>0</v>
      </c>
      <c r="Q191" s="1110">
        <f t="shared" ca="1" si="52"/>
        <v>0</v>
      </c>
      <c r="R191" s="1152" t="s">
        <v>654</v>
      </c>
      <c r="S191" s="1147" t="str">
        <f t="shared" si="49"/>
        <v>Rente betaald voor ex. partner als partneralimentatie</v>
      </c>
      <c r="T191" s="1125">
        <f t="shared" ca="1" si="51"/>
        <v>0</v>
      </c>
      <c r="U191" s="1126">
        <f t="shared" ca="1" si="50"/>
        <v>0</v>
      </c>
      <c r="V191" s="1885">
        <v>0</v>
      </c>
      <c r="W191" s="1361">
        <v>0</v>
      </c>
      <c r="X191" s="1120">
        <v>0.5</v>
      </c>
      <c r="Y191" s="1888">
        <v>0</v>
      </c>
      <c r="Z191" s="1885">
        <v>0</v>
      </c>
      <c r="AA191" s="1361">
        <v>0</v>
      </c>
      <c r="AB191" s="1120">
        <v>0</v>
      </c>
      <c r="AC191" s="1361">
        <v>0</v>
      </c>
      <c r="AD191" s="1120">
        <v>0</v>
      </c>
      <c r="AE191" s="1361">
        <v>0.5</v>
      </c>
      <c r="AF191" s="1951"/>
    </row>
    <row r="192" spans="1:32" ht="15.75" thickBot="1" x14ac:dyDescent="0.3">
      <c r="A192" s="147">
        <v>84</v>
      </c>
      <c r="B192" s="149" t="s">
        <v>665</v>
      </c>
      <c r="C192" s="47">
        <v>0</v>
      </c>
      <c r="D192" s="885">
        <f>E192*12</f>
        <v>0</v>
      </c>
      <c r="E192" s="1195">
        <f>C192-F192</f>
        <v>0</v>
      </c>
      <c r="F192" s="122">
        <v>0</v>
      </c>
      <c r="L192" s="1085" t="s">
        <v>636</v>
      </c>
      <c r="M192" s="1088" t="s">
        <v>666</v>
      </c>
      <c r="N192" s="1045"/>
      <c r="O192" s="1045"/>
      <c r="P192" s="1105">
        <f t="shared" ca="1" si="52"/>
        <v>0</v>
      </c>
      <c r="Q192" s="1110">
        <f t="shared" ca="1" si="52"/>
        <v>0</v>
      </c>
      <c r="R192" s="1151" t="s">
        <v>653</v>
      </c>
      <c r="S192" s="1147" t="str">
        <f t="shared" si="49"/>
        <v>Rente bijdrage ZVW over de rente berekenen over</v>
      </c>
      <c r="T192" s="1125">
        <f t="shared" ca="1" si="51"/>
        <v>0</v>
      </c>
      <c r="U192" s="1126">
        <f t="shared" ca="1" si="50"/>
        <v>0</v>
      </c>
      <c r="V192" s="1885">
        <v>0</v>
      </c>
      <c r="W192" s="1361">
        <v>0.5</v>
      </c>
      <c r="X192" s="1120">
        <v>0</v>
      </c>
      <c r="Y192" s="1888">
        <v>0.5</v>
      </c>
      <c r="Z192" s="1885">
        <v>0</v>
      </c>
      <c r="AA192" s="1361">
        <v>0</v>
      </c>
      <c r="AB192" s="1120">
        <v>0.5</v>
      </c>
      <c r="AC192" s="1361">
        <v>0</v>
      </c>
      <c r="AD192" s="1120">
        <v>0.5</v>
      </c>
      <c r="AE192" s="1361">
        <v>0</v>
      </c>
      <c r="AF192" s="1951"/>
    </row>
    <row r="193" spans="1:32" ht="15" customHeight="1" thickBot="1" x14ac:dyDescent="0.3">
      <c r="E193" s="319"/>
      <c r="L193" s="254">
        <v>123</v>
      </c>
      <c r="M193" s="1088" t="s">
        <v>661</v>
      </c>
      <c r="N193" s="1045"/>
      <c r="O193" s="1045"/>
      <c r="P193" s="1105">
        <f t="shared" ca="1" si="52"/>
        <v>0</v>
      </c>
      <c r="Q193" s="1110">
        <f t="shared" ca="1" si="52"/>
        <v>0</v>
      </c>
      <c r="R193" s="1151" t="s">
        <v>653</v>
      </c>
      <c r="S193" s="1147" t="str">
        <f t="shared" si="49"/>
        <v>Rente Onverdeeld Eigen Woning</v>
      </c>
      <c r="T193" s="1125">
        <f t="shared" ca="1" si="51"/>
        <v>0</v>
      </c>
      <c r="U193" s="1126">
        <f t="shared" ca="1" si="50"/>
        <v>0</v>
      </c>
      <c r="V193" s="1885">
        <v>0.5</v>
      </c>
      <c r="W193" s="1361">
        <v>0</v>
      </c>
      <c r="X193" s="1120">
        <v>1</v>
      </c>
      <c r="Y193" s="1888">
        <v>0</v>
      </c>
      <c r="Z193" s="1885">
        <v>0.5</v>
      </c>
      <c r="AA193" s="1361">
        <v>0.5</v>
      </c>
      <c r="AB193" s="1120">
        <v>0</v>
      </c>
      <c r="AC193" s="1361">
        <v>0.5</v>
      </c>
      <c r="AD193" s="1120">
        <v>0</v>
      </c>
      <c r="AE193" s="1361">
        <v>1</v>
      </c>
      <c r="AF193" s="1951"/>
    </row>
    <row r="194" spans="1:32" ht="15.75" customHeight="1" thickBot="1" x14ac:dyDescent="0.3">
      <c r="B194" s="608" t="s">
        <v>832</v>
      </c>
      <c r="E194" s="863" t="str">
        <f>IF(P181="Verlater",Basisgegevens!P183,Basisgegevens!Q183)</f>
        <v>A. Gerechtigd</v>
      </c>
      <c r="F194" s="863"/>
      <c r="L194" s="518">
        <v>138</v>
      </c>
      <c r="M194" s="392" t="s">
        <v>662</v>
      </c>
      <c r="N194" s="1047"/>
      <c r="O194" s="1047"/>
      <c r="P194" s="1106">
        <f t="shared" ca="1" si="52"/>
        <v>0</v>
      </c>
      <c r="Q194" s="1111">
        <f t="shared" ca="1" si="52"/>
        <v>0</v>
      </c>
      <c r="R194" s="1154" t="s">
        <v>655</v>
      </c>
      <c r="S194" s="1148" t="str">
        <f t="shared" si="49"/>
        <v>Rente betaald voor ex. partner als partneralimentatie</v>
      </c>
      <c r="T194" s="1127">
        <f t="shared" ca="1" si="51"/>
        <v>0</v>
      </c>
      <c r="U194" s="1128">
        <f t="shared" ca="1" si="50"/>
        <v>0</v>
      </c>
      <c r="V194" s="1886">
        <v>0.5</v>
      </c>
      <c r="W194" s="1362">
        <v>0</v>
      </c>
      <c r="X194" s="1121">
        <v>0</v>
      </c>
      <c r="Y194" s="1889"/>
      <c r="Z194" s="1886">
        <v>0</v>
      </c>
      <c r="AA194" s="1362">
        <v>0</v>
      </c>
      <c r="AB194" s="1121">
        <v>0</v>
      </c>
      <c r="AC194" s="1362">
        <v>0.5</v>
      </c>
      <c r="AD194" s="1121">
        <v>0</v>
      </c>
      <c r="AE194" s="1362">
        <v>0</v>
      </c>
      <c r="AF194" s="1951"/>
    </row>
    <row r="195" spans="1:32" ht="15.75" thickBot="1" x14ac:dyDescent="0.3">
      <c r="A195" s="8" t="s">
        <v>223</v>
      </c>
      <c r="B195" s="2873" t="s">
        <v>101</v>
      </c>
      <c r="C195" s="2874"/>
      <c r="D195" s="2875"/>
      <c r="E195" s="8" t="s">
        <v>817</v>
      </c>
      <c r="F195" s="326" t="s">
        <v>191</v>
      </c>
      <c r="G195" s="1494"/>
      <c r="H195" s="1494"/>
      <c r="I195" s="1495"/>
      <c r="L195" s="147">
        <v>104</v>
      </c>
      <c r="M195" s="1086" t="s">
        <v>668</v>
      </c>
      <c r="N195" s="1086"/>
      <c r="O195" s="1086"/>
      <c r="P195" s="1107">
        <f ca="1">IF(P$181=$T$183,$T195*BGOEWTotSchuld,$U195*BGOEWTotSchuld)</f>
        <v>0</v>
      </c>
      <c r="Q195" s="1112">
        <f ca="1">IF(Q$181=$T$183,$T195*BGOEWTotSchuld,$U195*BGOEWTotSchuld)</f>
        <v>0</v>
      </c>
      <c r="R195" s="1155" t="s">
        <v>653</v>
      </c>
      <c r="S195" s="1116" t="str">
        <f t="shared" si="49"/>
        <v xml:space="preserve">Aandeel in schuld van de Onverdeeld Eigen Woning in box 3 </v>
      </c>
      <c r="T195" s="1064">
        <f t="shared" ca="1" si="51"/>
        <v>0</v>
      </c>
      <c r="U195" s="1065">
        <f t="shared" ca="1" si="50"/>
        <v>0</v>
      </c>
      <c r="V195" s="1064">
        <f>IF(BGOEW24MndTermijn="Nee",0,0.5)</f>
        <v>0</v>
      </c>
      <c r="W195" s="1083">
        <v>0</v>
      </c>
      <c r="X195" s="1122">
        <f>IF(BGOEW24MndTermijn="Nee",0,0.5)</f>
        <v>0</v>
      </c>
      <c r="Y195" s="1890">
        <v>0</v>
      </c>
      <c r="Z195" s="1064">
        <f>IF(BGOEW24MndTermijn="Nee",0,0.5)</f>
        <v>0</v>
      </c>
      <c r="AA195" s="1083">
        <v>0</v>
      </c>
      <c r="AB195" s="1122">
        <f>IF(BGOEW24MndTermijn="Nee",0,0.5)</f>
        <v>0</v>
      </c>
      <c r="AC195" s="1083">
        <v>0</v>
      </c>
      <c r="AD195" s="1122">
        <f>IF(BGOEW24MndTermijn="Nee",0,0.5)</f>
        <v>0</v>
      </c>
      <c r="AE195" s="1083">
        <v>0</v>
      </c>
      <c r="AF195" s="1951"/>
    </row>
    <row r="196" spans="1:32" ht="15.75" thickBot="1" x14ac:dyDescent="0.3">
      <c r="A196" s="1207" t="s">
        <v>806</v>
      </c>
      <c r="B196" s="2881" t="str">
        <f>"OEW: De maandelijks  aan de verlater: "&amp;IF(P181="Verlater",Basisgegevens!P183,Basisgegevens!Q183)&amp;" te betalen afgesproken woonvergoeding"</f>
        <v>OEW: De maandelijks  aan de verlater: A. Gerechtigd te betalen afgesproken woonvergoeding</v>
      </c>
      <c r="C196" s="2877"/>
      <c r="D196" s="2878"/>
      <c r="E196" s="1201">
        <v>0</v>
      </c>
      <c r="F196" s="2860" t="s">
        <v>833</v>
      </c>
      <c r="G196" s="2861"/>
      <c r="H196" s="2861"/>
      <c r="I196" s="2862"/>
      <c r="L196" s="147" t="s">
        <v>636</v>
      </c>
      <c r="M196" s="1092" t="str">
        <f ca="1">"Afdracht ZVW over EWF en/of Rente a € "&amp;P188+P192&amp;" (AP) /"&amp;Q188+Q192&amp;" (AG)"</f>
        <v>Afdracht ZVW over EWF en/of Rente a € 0 (AP) /0 (AG)</v>
      </c>
      <c r="N196" s="1093"/>
      <c r="O196" s="1094"/>
      <c r="P196" s="1114">
        <f ca="1">IF(OR(P188+P192=0,BGZVWJaarInkomen-(AL59Arbeidsinkomen_AP+AL60Arbeidsinkomen_AP+AL75BelastbareWinst_AP)&lt;=0),0,IF(BGZVWJaarInkomen-(AL59Arbeidsinkomen_AP+AL60Arbeidsinkomen_AP+AL75BelastbareWinst_AP)-P188-P192&lt;=0,(BGZVWJaarInkomen-(AL59Arbeidsinkomen_AP+AL60Arbeidsinkomen_AP+AL75BelastbareWinst_AP))*BGZVWPremie,(P188+P192)*BGZVWPremie))</f>
        <v>0</v>
      </c>
      <c r="Q196" s="1115">
        <f ca="1">IF(OR(Q188+Q192=0,BGZVWJaarInkomen-(AL59Arbeidsinkomen_AG+AL60Arbeidsinkomen_AG+IF(AL75BelastbareWinst_AG&lt;=0,0,AL75BelastbareWinst_AG))&lt;=0),0,IF(BGZVWJaarInkomen-(AL59Arbeidsinkomen_AG+AL60Arbeidsinkomen_AG+IF(AL75BelastbareWinst_AG&lt;=0,0,AL75BelastbareWinst_AG))-Q188-Q192&lt;=0,(BGZVWJaarInkomen-(AL59Arbeidsinkomen_AG+AL60Arbeidsinkomen_AG+IF(AL75BelastbareWinst_AG&lt;=0,0,AL75BelastbareWinst_AG)))*BGZVWPremie,(Q188+Q192)*BGZVWPremie))</f>
        <v>0</v>
      </c>
      <c r="R196" s="1155" t="s">
        <v>653</v>
      </c>
      <c r="AF196" s="1951"/>
    </row>
    <row r="197" spans="1:32" ht="15.75" thickBot="1" x14ac:dyDescent="0.3">
      <c r="F197" s="2865"/>
      <c r="G197" s="2866"/>
      <c r="H197" s="2866"/>
      <c r="I197" s="2867"/>
      <c r="AF197" s="1951"/>
    </row>
    <row r="198" spans="1:32" ht="15.75" thickBot="1" x14ac:dyDescent="0.3">
      <c r="E198" s="17"/>
      <c r="F198" s="17"/>
      <c r="AF198" s="1951"/>
    </row>
    <row r="199" spans="1:32" ht="16.5" thickBot="1" x14ac:dyDescent="0.3">
      <c r="B199" s="608" t="s">
        <v>819</v>
      </c>
      <c r="E199" s="863" t="str">
        <f>BGPartner_AP</f>
        <v>A. Plichtig</v>
      </c>
      <c r="F199" s="863" t="str">
        <f>BGPartner_AG</f>
        <v>A. Gerechtigd</v>
      </c>
      <c r="M199" s="64" t="s">
        <v>997</v>
      </c>
      <c r="Q199" s="104"/>
      <c r="AF199" s="1951"/>
    </row>
    <row r="200" spans="1:32" ht="15.75" thickBot="1" x14ac:dyDescent="0.3">
      <c r="A200" s="8" t="s">
        <v>223</v>
      </c>
      <c r="B200" s="2873" t="s">
        <v>526</v>
      </c>
      <c r="C200" s="2874"/>
      <c r="D200" s="2875"/>
      <c r="E200" s="8" t="s">
        <v>818</v>
      </c>
      <c r="F200" s="1382" t="s">
        <v>818</v>
      </c>
      <c r="G200" s="2755" t="s">
        <v>191</v>
      </c>
      <c r="H200" s="2756"/>
      <c r="I200" s="2756"/>
      <c r="J200" s="2705"/>
      <c r="M200" s="286" t="s">
        <v>168</v>
      </c>
      <c r="N200" s="6" t="s">
        <v>337</v>
      </c>
      <c r="O200" s="102" t="s">
        <v>0</v>
      </c>
      <c r="Q200" s="104"/>
      <c r="AF200" s="1951"/>
    </row>
    <row r="201" spans="1:32" ht="15.75" thickBot="1" x14ac:dyDescent="0.3">
      <c r="A201" s="59">
        <v>138</v>
      </c>
      <c r="B201" s="2743" t="str">
        <f>"VEW: HypotheekRENTE/Maand die door: "&amp;BGPartner_AP&amp;" wordt betaald voor: "&amp;BGPartner_AG</f>
        <v>VEW: HypotheekRENTE/Maand die door: A. Plichtig wordt betaald voor: A. Gerechtigd</v>
      </c>
      <c r="C201" s="2744"/>
      <c r="D201" s="2745"/>
      <c r="E201" s="861">
        <v>0</v>
      </c>
      <c r="F201" s="862"/>
      <c r="G201" s="2746" t="s">
        <v>656</v>
      </c>
      <c r="H201" s="2747"/>
      <c r="I201" s="2747"/>
      <c r="J201" s="2748"/>
      <c r="L201" s="147">
        <v>106</v>
      </c>
      <c r="M201" s="1326">
        <v>2022</v>
      </c>
      <c r="N201" s="981">
        <v>0</v>
      </c>
      <c r="O201" s="982">
        <v>0</v>
      </c>
      <c r="P201" s="866" t="s">
        <v>605</v>
      </c>
      <c r="AF201" s="1951"/>
    </row>
    <row r="202" spans="1:32" ht="15.75" thickBot="1" x14ac:dyDescent="0.3">
      <c r="A202" s="58">
        <v>138</v>
      </c>
      <c r="B202" s="2802" t="str">
        <f>"VEW: HypotheekRENTE/Maand die door: "&amp;BGPartner_AG&amp;" wordt betaald voor: "&amp;BGPartner_AP</f>
        <v>VEW: HypotheekRENTE/Maand die door: A. Gerechtigd wordt betaald voor: A. Plichtig</v>
      </c>
      <c r="C202" s="2803"/>
      <c r="D202" s="2804"/>
      <c r="E202" s="758"/>
      <c r="F202" s="391">
        <v>0</v>
      </c>
      <c r="G202" s="2749"/>
      <c r="H202" s="2750"/>
      <c r="I202" s="2750"/>
      <c r="J202" s="2751"/>
      <c r="AF202" s="1951"/>
    </row>
    <row r="203" spans="1:32" ht="16.5" thickBot="1" x14ac:dyDescent="0.3">
      <c r="A203" s="8" t="s">
        <v>223</v>
      </c>
      <c r="B203" s="2873" t="s">
        <v>527</v>
      </c>
      <c r="C203" s="2874"/>
      <c r="D203" s="2875"/>
      <c r="E203" s="863" t="str">
        <f>BGPartner_AP</f>
        <v>A. Plichtig</v>
      </c>
      <c r="F203" s="863" t="str">
        <f>BGPartner_AG</f>
        <v>A. Gerechtigd</v>
      </c>
      <c r="G203" s="2749"/>
      <c r="H203" s="2750"/>
      <c r="I203" s="2750"/>
      <c r="J203" s="2751"/>
      <c r="M203" s="2212" t="str">
        <f>"Heffingsvrij vermogen "&amp;BGJaarBerekening</f>
        <v>Heffingsvrij vermogen 2025</v>
      </c>
      <c r="O203" s="28" t="s">
        <v>597</v>
      </c>
      <c r="AF203" s="1951"/>
    </row>
    <row r="204" spans="1:32" ht="15.75" thickBot="1" x14ac:dyDescent="0.3">
      <c r="A204" s="24">
        <v>138</v>
      </c>
      <c r="B204" s="2743" t="str">
        <f>"VEW: HypotheekAFLOSSING/Maand die door: "&amp;BGPartner_AP&amp;" wordt betaald voor: "&amp;"BGPartnerAG"</f>
        <v>VEW: HypotheekAFLOSSING/Maand die door: A. Plichtig wordt betaald voor: BGPartnerAG</v>
      </c>
      <c r="C204" s="2744"/>
      <c r="D204" s="2745"/>
      <c r="E204" s="871">
        <v>0</v>
      </c>
      <c r="F204" s="922"/>
      <c r="G204" s="2749"/>
      <c r="H204" s="2750"/>
      <c r="I204" s="2750"/>
      <c r="J204" s="2751"/>
      <c r="L204" s="948"/>
      <c r="M204" s="2843" t="s">
        <v>169</v>
      </c>
      <c r="N204" s="2845" t="s">
        <v>170</v>
      </c>
      <c r="AF204" s="1951"/>
    </row>
    <row r="205" spans="1:32" ht="15.75" thickBot="1" x14ac:dyDescent="0.3">
      <c r="A205" s="26">
        <v>138</v>
      </c>
      <c r="B205" s="2802" t="str">
        <f>"VEW: HypotheekAFLOSSING/Maand die door: "&amp;BGPartner_AG&amp;" wordt betaald voor: "&amp;BGPartner_AP</f>
        <v>VEW: HypotheekAFLOSSING/Maand die door: A. Gerechtigd wordt betaald voor: A. Plichtig</v>
      </c>
      <c r="C205" s="2803"/>
      <c r="D205" s="2804"/>
      <c r="E205" s="759"/>
      <c r="F205" s="872">
        <v>0</v>
      </c>
      <c r="G205" s="2752"/>
      <c r="H205" s="2753"/>
      <c r="I205" s="2753"/>
      <c r="J205" s="2754"/>
      <c r="L205" s="1156" t="s">
        <v>168</v>
      </c>
      <c r="M205" s="2844"/>
      <c r="N205" s="2846"/>
      <c r="O205" s="948"/>
      <c r="AF205" s="1951"/>
    </row>
    <row r="206" spans="1:32" ht="15.75" thickBot="1" x14ac:dyDescent="0.3">
      <c r="L206" s="1327">
        <f>BGJaarBerekening</f>
        <v>2025</v>
      </c>
      <c r="M206" s="1157">
        <v>57684</v>
      </c>
      <c r="N206" s="1158">
        <v>115368</v>
      </c>
      <c r="O206" s="948"/>
      <c r="AF206" s="1951"/>
    </row>
    <row r="207" spans="1:32" ht="16.5" thickBot="1" x14ac:dyDescent="0.3">
      <c r="B207" s="708" t="s">
        <v>827</v>
      </c>
      <c r="C207" s="53" t="str">
        <f>BGPartner_AP</f>
        <v>A. Plichtig</v>
      </c>
      <c r="E207" s="18" t="str">
        <f>BGPartner_AG</f>
        <v>A. Gerechtigd</v>
      </c>
      <c r="L207" s="22"/>
      <c r="N207" s="948"/>
      <c r="O207" s="942" t="s">
        <v>1052</v>
      </c>
      <c r="P207" s="948"/>
      <c r="Q207" s="948"/>
      <c r="R207" s="948"/>
      <c r="S207" s="22"/>
      <c r="AF207" s="1951"/>
    </row>
    <row r="208" spans="1:32" ht="16.5" thickBot="1" x14ac:dyDescent="0.3">
      <c r="B208" s="250" t="s">
        <v>131</v>
      </c>
      <c r="C208" s="40" t="s">
        <v>91</v>
      </c>
      <c r="D208" s="2" t="s">
        <v>784</v>
      </c>
      <c r="E208" s="40" t="s">
        <v>91</v>
      </c>
      <c r="F208" s="2" t="s">
        <v>784</v>
      </c>
      <c r="L208" s="22"/>
      <c r="M208" s="2212" t="str">
        <f>"Forfaitair rendement op vermogen "&amp;BGJaarBerekening</f>
        <v>Forfaitair rendement op vermogen 2025</v>
      </c>
      <c r="N208" s="983"/>
      <c r="O208" s="1344" t="s">
        <v>813</v>
      </c>
      <c r="P208" s="1345"/>
      <c r="Q208" s="1344" t="s">
        <v>814</v>
      </c>
      <c r="R208" s="1345"/>
      <c r="T208" s="1344" t="s">
        <v>811</v>
      </c>
      <c r="U208" s="1345"/>
      <c r="V208" s="1344" t="s">
        <v>812</v>
      </c>
      <c r="W208" s="1345"/>
      <c r="AF208" s="1951"/>
    </row>
    <row r="209" spans="1:32" ht="15.75" thickBot="1" x14ac:dyDescent="0.3">
      <c r="A209" s="5" t="s">
        <v>223</v>
      </c>
      <c r="B209" s="95" t="s">
        <v>70</v>
      </c>
      <c r="C209" s="18" t="str">
        <f>IF(C208="Maand","Maandloon",IF(C208="4 Weken","4-Wekenloon",IF(C208="Anders","Anders","")))</f>
        <v>Maandloon</v>
      </c>
      <c r="D209" s="18" t="s">
        <v>1</v>
      </c>
      <c r="E209" s="18" t="str">
        <f>IF(E208="Maand","Maandloon",IF(E208="4 Weken","4-Wekenloon",IF(E208="Anders","Anders","")))</f>
        <v>Maandloon</v>
      </c>
      <c r="F209" s="18" t="s">
        <v>1</v>
      </c>
      <c r="G209" s="2755" t="s">
        <v>191</v>
      </c>
      <c r="H209" s="2756"/>
      <c r="I209" s="2756"/>
      <c r="J209" s="2705"/>
      <c r="L209" s="1324" t="s">
        <v>745</v>
      </c>
      <c r="M209" s="1325" t="s">
        <v>101</v>
      </c>
      <c r="N209" s="1323"/>
      <c r="O209" s="634" t="str">
        <f>BGPartner_AP</f>
        <v>A. Plichtig</v>
      </c>
      <c r="P209" s="1335" t="str">
        <f>BGPartner_AG</f>
        <v>A. Gerechtigd</v>
      </c>
      <c r="Q209" s="1337" t="str">
        <f>BGPartner_AP</f>
        <v>A. Plichtig</v>
      </c>
      <c r="R209" s="1335" t="str">
        <f>BGPartner_AG</f>
        <v>A. Gerechtigd</v>
      </c>
      <c r="S209" s="329" t="s">
        <v>77</v>
      </c>
      <c r="T209" s="1337" t="str">
        <f>BGPartner_AP</f>
        <v>A. Plichtig</v>
      </c>
      <c r="U209" s="1335" t="str">
        <f>BGPartner_AG</f>
        <v>A. Gerechtigd</v>
      </c>
      <c r="V209" s="1337" t="str">
        <f>BGPartner_AP</f>
        <v>A. Plichtig</v>
      </c>
      <c r="W209" s="1335" t="str">
        <f>BGPartner_AG</f>
        <v>A. Gerechtigd</v>
      </c>
      <c r="AF209" s="1951"/>
    </row>
    <row r="210" spans="1:32" ht="17.25" x14ac:dyDescent="0.25">
      <c r="A210" s="56"/>
      <c r="B210" s="96" t="s">
        <v>133</v>
      </c>
      <c r="C210" s="84">
        <v>0</v>
      </c>
      <c r="D210" s="210">
        <f>IF(C$208="Maand",C210*12,IF(C$208="Jaar",C210,0))</f>
        <v>0</v>
      </c>
      <c r="E210" s="84">
        <v>0</v>
      </c>
      <c r="F210" s="210">
        <f>IF(E$208="Maand",E210*12,IF(E$208="Jaar",E210,0))</f>
        <v>0</v>
      </c>
      <c r="G210" s="2743" t="s">
        <v>390</v>
      </c>
      <c r="H210" s="2744"/>
      <c r="I210" s="2744"/>
      <c r="J210" s="2745"/>
      <c r="L210" s="1328" t="s">
        <v>469</v>
      </c>
      <c r="M210" s="1330" t="s">
        <v>744</v>
      </c>
      <c r="N210" s="1342"/>
      <c r="O210" s="464">
        <f>'Alimentatie 2025-01'!D158</f>
        <v>0</v>
      </c>
      <c r="P210" s="1349">
        <f>'Alimentatie 2025-01'!G158</f>
        <v>0</v>
      </c>
      <c r="Q210" s="1346">
        <f t="shared" ref="Q210:R212" si="53">O210*$S210</f>
        <v>0</v>
      </c>
      <c r="R210" s="1347">
        <f t="shared" si="53"/>
        <v>0</v>
      </c>
      <c r="S210" s="1350">
        <v>1.44E-2</v>
      </c>
      <c r="T210" s="585">
        <f>'Alimentatie 2025-01'!E158</f>
        <v>0</v>
      </c>
      <c r="U210" s="1349">
        <f>'Alimentatie 2025-01'!H158</f>
        <v>0</v>
      </c>
      <c r="V210" s="1346">
        <f t="shared" ref="V210:W212" si="54">T210*$S210</f>
        <v>0</v>
      </c>
      <c r="W210" s="1347">
        <f t="shared" si="54"/>
        <v>0</v>
      </c>
      <c r="AF210" s="1951"/>
    </row>
    <row r="211" spans="1:32" ht="18" thickBot="1" x14ac:dyDescent="0.3">
      <c r="A211" s="150"/>
      <c r="B211" s="97" t="s">
        <v>134</v>
      </c>
      <c r="C211" s="35">
        <v>0</v>
      </c>
      <c r="D211" s="211">
        <f>IF(C$208="Maand",C211*12,IF(C$208="Jaar",C211,0))</f>
        <v>0</v>
      </c>
      <c r="E211" s="35">
        <v>0</v>
      </c>
      <c r="F211" s="211">
        <f>IF(E$208="Maand",E211*12,IF(E$208="Jaar",E211,0))</f>
        <v>0</v>
      </c>
      <c r="G211" s="2802" t="s">
        <v>391</v>
      </c>
      <c r="H211" s="2803"/>
      <c r="I211" s="2803"/>
      <c r="J211" s="2804"/>
      <c r="L211" s="1085" t="s">
        <v>470</v>
      </c>
      <c r="M211" s="1329" t="s">
        <v>927</v>
      </c>
      <c r="N211" s="1338"/>
      <c r="O211" s="465">
        <f>SUM('Alimentatie 2025-01'!D159:D161)</f>
        <v>0</v>
      </c>
      <c r="P211" s="936">
        <f>SUM('Alimentatie 2025-01'!G159:'Alimentatie 2025-01'!G161)</f>
        <v>0</v>
      </c>
      <c r="Q211" s="974">
        <f t="shared" si="53"/>
        <v>0</v>
      </c>
      <c r="R211" s="1336">
        <f t="shared" si="53"/>
        <v>0</v>
      </c>
      <c r="S211" s="1351">
        <v>5.8799999999999998E-2</v>
      </c>
      <c r="T211" s="586">
        <f>'Alimentatie 2025-01'!E159</f>
        <v>0</v>
      </c>
      <c r="U211" s="586">
        <f>'Alimentatie 2025-01'!H159</f>
        <v>0</v>
      </c>
      <c r="V211" s="974">
        <f t="shared" si="54"/>
        <v>0</v>
      </c>
      <c r="W211" s="1336">
        <f t="shared" si="54"/>
        <v>0</v>
      </c>
      <c r="AF211" s="1951"/>
    </row>
    <row r="212" spans="1:32" ht="18" thickBot="1" x14ac:dyDescent="0.3">
      <c r="A212" s="151" t="s">
        <v>39</v>
      </c>
      <c r="B212" s="98" t="s">
        <v>280</v>
      </c>
      <c r="C212" s="30">
        <f>SUM(C210:C211)</f>
        <v>0</v>
      </c>
      <c r="D212" s="30">
        <f>SUM(D210:D211)</f>
        <v>0</v>
      </c>
      <c r="E212" s="30">
        <f>SUM(E210:E211)</f>
        <v>0</v>
      </c>
      <c r="F212" s="30">
        <f>SUM(F210:F211)</f>
        <v>0</v>
      </c>
      <c r="L212" s="1084" t="s">
        <v>471</v>
      </c>
      <c r="M212" s="1339" t="s">
        <v>746</v>
      </c>
      <c r="N212" s="1343"/>
      <c r="O212" s="466">
        <f>'Alimentatie 2025-01'!D166</f>
        <v>0</v>
      </c>
      <c r="P212" s="937">
        <f>'Alimentatie 2025-01'!G166</f>
        <v>0</v>
      </c>
      <c r="Q212" s="975">
        <f t="shared" si="53"/>
        <v>0</v>
      </c>
      <c r="R212" s="1348">
        <f t="shared" si="53"/>
        <v>0</v>
      </c>
      <c r="S212" s="1352">
        <v>2.6200000000000001E-2</v>
      </c>
      <c r="T212" s="958">
        <f>'Alimentatie 2025-01'!E166</f>
        <v>0</v>
      </c>
      <c r="U212" s="958">
        <f>'Alimentatie 2025-01'!H166</f>
        <v>0</v>
      </c>
      <c r="V212" s="975">
        <f t="shared" si="54"/>
        <v>0</v>
      </c>
      <c r="W212" s="1348">
        <f t="shared" si="54"/>
        <v>0</v>
      </c>
      <c r="AF212" s="1951"/>
    </row>
    <row r="213" spans="1:32" ht="15.75" thickBot="1" x14ac:dyDescent="0.3">
      <c r="L213" s="22"/>
      <c r="M213" s="2890" t="s">
        <v>749</v>
      </c>
      <c r="N213" s="2891"/>
      <c r="O213" s="386">
        <f>O210+O211-O212</f>
        <v>0</v>
      </c>
      <c r="P213" s="509">
        <f>P210+P211-P212</f>
        <v>0</v>
      </c>
      <c r="Q213" s="62">
        <f>Q210+Q211-Q212</f>
        <v>0</v>
      </c>
      <c r="R213" s="509">
        <f>R210+R211-R212</f>
        <v>0</v>
      </c>
      <c r="S213" s="14"/>
      <c r="T213" s="62">
        <f>T210+T211-T212</f>
        <v>0</v>
      </c>
      <c r="U213" s="509">
        <f>U210+U211-U212</f>
        <v>0</v>
      </c>
      <c r="V213" s="62">
        <f>V210+V211-V212</f>
        <v>0</v>
      </c>
      <c r="W213" s="509">
        <f>W210+W211-W212</f>
        <v>0</v>
      </c>
      <c r="AF213" s="1951"/>
    </row>
    <row r="214" spans="1:32" ht="16.5" thickBot="1" x14ac:dyDescent="0.3">
      <c r="B214" s="708" t="s">
        <v>198</v>
      </c>
      <c r="AF214" s="1951"/>
    </row>
    <row r="215" spans="1:32" ht="15.75" thickBot="1" x14ac:dyDescent="0.3">
      <c r="A215" s="39" t="s">
        <v>223</v>
      </c>
      <c r="B215" s="912" t="s">
        <v>101</v>
      </c>
      <c r="C215" s="50" t="s">
        <v>77</v>
      </c>
      <c r="AF215" s="1951"/>
    </row>
    <row r="216" spans="1:32" ht="15.75" thickBot="1" x14ac:dyDescent="0.3">
      <c r="A216" s="24">
        <v>51</v>
      </c>
      <c r="B216" s="1946" t="str">
        <f>"Maximum pensioengevend salaris over loon in "&amp;BGJaarBerekening</f>
        <v>Maximum pensioengevend salaris over loon in 2025</v>
      </c>
      <c r="C216" s="1478">
        <v>137800</v>
      </c>
      <c r="AF216" s="1951"/>
    </row>
    <row r="217" spans="1:32" ht="15.75" thickBot="1" x14ac:dyDescent="0.3">
      <c r="A217" s="58"/>
      <c r="B217" s="2326" t="str">
        <f>"Tariefsbeperking aftrekposten bij inkomen &gt; €"&amp;N15&amp;" in "&amp;C17</f>
        <v>Tariefsbeperking aftrekposten bij inkomen &gt; €38441 in 2025</v>
      </c>
      <c r="C217" s="2334">
        <v>0.37480000000000002</v>
      </c>
      <c r="D217" s="2332" t="s">
        <v>1018</v>
      </c>
      <c r="E217" s="102" t="s">
        <v>1017</v>
      </c>
      <c r="AF217" s="1951"/>
    </row>
    <row r="218" spans="1:32" ht="15.75" thickBot="1" x14ac:dyDescent="0.3">
      <c r="A218" s="58">
        <v>101</v>
      </c>
      <c r="B218" s="2327" t="s">
        <v>195</v>
      </c>
      <c r="C218" s="2335">
        <f>IF(AL100InkAanmBelang_AP&gt;=67804,Basisgegevens!E218,Basisgegevens!D218)</f>
        <v>0.245</v>
      </c>
      <c r="D218" s="2333">
        <v>0.245</v>
      </c>
      <c r="E218" s="2122">
        <v>0.31</v>
      </c>
      <c r="AF218" s="1951"/>
    </row>
    <row r="219" spans="1:32" x14ac:dyDescent="0.25">
      <c r="A219" s="58">
        <v>112</v>
      </c>
      <c r="B219" s="2327" t="s">
        <v>197</v>
      </c>
      <c r="C219" s="1039">
        <v>0.36</v>
      </c>
      <c r="AF219" s="1951"/>
    </row>
    <row r="220" spans="1:32" x14ac:dyDescent="0.25">
      <c r="A220" s="58" t="s">
        <v>335</v>
      </c>
      <c r="B220" s="2328" t="s">
        <v>336</v>
      </c>
      <c r="C220" s="1040">
        <v>3800</v>
      </c>
      <c r="D220" s="942" t="s">
        <v>600</v>
      </c>
      <c r="AF220" s="1951"/>
    </row>
    <row r="221" spans="1:32" x14ac:dyDescent="0.25">
      <c r="A221" s="58" t="s">
        <v>40</v>
      </c>
      <c r="B221" s="2328" t="s">
        <v>683</v>
      </c>
      <c r="C221" s="1039">
        <v>5.2600000000000001E-2</v>
      </c>
      <c r="D221" s="498" t="s">
        <v>454</v>
      </c>
      <c r="AF221" s="1951"/>
    </row>
    <row r="222" spans="1:32" x14ac:dyDescent="0.25">
      <c r="A222" s="58"/>
      <c r="B222" s="2328" t="str">
        <f>CONCATENATE("Maximumbijdrage-inkomen ZVW-premie in ",C17)</f>
        <v>Maximumbijdrage-inkomen ZVW-premie in 2025</v>
      </c>
      <c r="C222" s="1040">
        <v>75864</v>
      </c>
      <c r="D222" s="498"/>
      <c r="AF222" s="1951"/>
    </row>
    <row r="223" spans="1:32" x14ac:dyDescent="0.25">
      <c r="A223" s="152">
        <v>121</v>
      </c>
      <c r="B223" s="2329" t="s">
        <v>1027</v>
      </c>
      <c r="C223" s="2325">
        <v>0.3</v>
      </c>
      <c r="AF223" s="1951"/>
    </row>
    <row r="224" spans="1:32" x14ac:dyDescent="0.25">
      <c r="A224" s="58">
        <v>123</v>
      </c>
      <c r="B224" s="2330" t="s">
        <v>739</v>
      </c>
      <c r="C224" s="2336">
        <v>0.3</v>
      </c>
      <c r="AF224" s="1951"/>
    </row>
    <row r="225" spans="1:32" ht="15.75" thickBot="1" x14ac:dyDescent="0.3">
      <c r="A225" s="324"/>
      <c r="B225" s="2331" t="s">
        <v>1076</v>
      </c>
      <c r="C225" s="2337">
        <v>140213</v>
      </c>
      <c r="AF225" s="1951"/>
    </row>
    <row r="226" spans="1:32" ht="15.75" thickBot="1" x14ac:dyDescent="0.3">
      <c r="AF226" s="1951"/>
    </row>
    <row r="227" spans="1:32" ht="15.75" thickBot="1" x14ac:dyDescent="0.3">
      <c r="A227" s="719"/>
      <c r="B227" s="776" t="s">
        <v>514</v>
      </c>
      <c r="C227" s="53" t="str">
        <f>BGPartner_AP</f>
        <v>A. Plichtig</v>
      </c>
      <c r="D227" s="18" t="str">
        <f>BGPartner_AG</f>
        <v>A. Gerechtigd</v>
      </c>
      <c r="E227" s="18" t="s">
        <v>4</v>
      </c>
      <c r="AF227" s="1951"/>
    </row>
    <row r="228" spans="1:32" ht="15.75" thickBot="1" x14ac:dyDescent="0.3">
      <c r="A228" s="404">
        <v>137</v>
      </c>
      <c r="B228" s="605" t="s">
        <v>513</v>
      </c>
      <c r="C228" s="609">
        <v>0.6</v>
      </c>
      <c r="D228" s="609">
        <v>0.6</v>
      </c>
      <c r="E228" s="606">
        <v>0.7</v>
      </c>
      <c r="AF228" s="1951"/>
    </row>
    <row r="229" spans="1:32" ht="15.75" thickBot="1" x14ac:dyDescent="0.3">
      <c r="AF229" s="1951"/>
    </row>
    <row r="230" spans="1:32" ht="15.75" thickBot="1" x14ac:dyDescent="0.3">
      <c r="B230" s="92" t="s">
        <v>1115</v>
      </c>
      <c r="C230" s="2394" t="s">
        <v>1112</v>
      </c>
      <c r="D230" s="2395"/>
      <c r="E230" s="39" t="s">
        <v>1113</v>
      </c>
      <c r="M230" s="2"/>
      <c r="N230" s="2"/>
      <c r="AF230" s="1951"/>
    </row>
    <row r="231" spans="1:32" ht="15.75" thickBot="1" x14ac:dyDescent="0.3">
      <c r="B231" s="2397" t="s">
        <v>70</v>
      </c>
      <c r="C231" s="53" t="str">
        <f>BGPartner_AP</f>
        <v>A. Plichtig</v>
      </c>
      <c r="D231" s="105" t="str">
        <f>BGPartner_AG</f>
        <v>A. Gerechtigd</v>
      </c>
      <c r="E231" s="119" t="s">
        <v>1114</v>
      </c>
      <c r="M231" s="2"/>
      <c r="N231" s="2"/>
      <c r="AF231" s="1951"/>
    </row>
    <row r="232" spans="1:32" ht="15.75" thickBot="1" x14ac:dyDescent="0.3">
      <c r="B232" s="2614" t="str">
        <f>"Max.toegestaan vermogen t.b.v. KGB per 01-01-"&amp;BGJaarBerekening&amp;":"</f>
        <v>Max.toegestaan vermogen t.b.v. KGB per 01-01-2025:</v>
      </c>
      <c r="C232" s="2396">
        <v>141896</v>
      </c>
      <c r="D232" s="2398">
        <f>C232</f>
        <v>141896</v>
      </c>
      <c r="E232" s="2396">
        <v>179429</v>
      </c>
      <c r="F232" s="303"/>
      <c r="M232" s="2"/>
      <c r="N232" s="2"/>
      <c r="AF232" s="1951"/>
    </row>
    <row r="233" spans="1:32" ht="15.75" thickBot="1" x14ac:dyDescent="0.3">
      <c r="A233" s="17"/>
      <c r="B233" s="2615" t="str">
        <f>"Was het maximale vermogen op 01-01-"&amp;BGJaarBerekening&amp;" hoger?"</f>
        <v>Was het maximale vermogen op 01-01-2025 hoger?</v>
      </c>
      <c r="C233" s="775" t="s">
        <v>106</v>
      </c>
      <c r="D233" s="617" t="s">
        <v>106</v>
      </c>
      <c r="E233" s="775" t="s">
        <v>106</v>
      </c>
      <c r="M233" s="2"/>
      <c r="N233" s="2"/>
      <c r="AF233" s="1951"/>
    </row>
    <row r="234" spans="1:32" ht="14.45" customHeight="1" x14ac:dyDescent="0.25">
      <c r="M234" s="2"/>
      <c r="N234" s="2"/>
      <c r="AF234" s="1951"/>
    </row>
    <row r="235" spans="1:32" ht="15.75" thickBot="1" x14ac:dyDescent="0.3">
      <c r="B235" s="4" t="s">
        <v>1077</v>
      </c>
      <c r="C235"/>
      <c r="D235"/>
      <c r="M235" s="2"/>
      <c r="N235" s="2"/>
      <c r="AF235" s="1951"/>
    </row>
    <row r="236" spans="1:32" ht="14.45" customHeight="1" thickBot="1" x14ac:dyDescent="0.3">
      <c r="B236" s="908" t="s">
        <v>761</v>
      </c>
      <c r="C236" s="224" t="s">
        <v>1081</v>
      </c>
      <c r="D236" s="226" t="s">
        <v>1089</v>
      </c>
      <c r="M236" s="2"/>
      <c r="N236" s="2"/>
      <c r="AF236" s="1951"/>
    </row>
    <row r="237" spans="1:32" ht="14.45" customHeight="1" x14ac:dyDescent="0.25">
      <c r="B237" s="2345" t="s">
        <v>1078</v>
      </c>
      <c r="C237" s="2346">
        <v>5900</v>
      </c>
      <c r="D237" s="2347">
        <v>2511</v>
      </c>
      <c r="M237" s="2"/>
      <c r="N237" s="2"/>
      <c r="AF237" s="1951"/>
    </row>
    <row r="238" spans="1:32" x14ac:dyDescent="0.25">
      <c r="B238" s="2340" t="s">
        <v>1079</v>
      </c>
      <c r="C238" s="2338">
        <v>8411</v>
      </c>
      <c r="D238" s="2341">
        <v>5022</v>
      </c>
      <c r="E238" s="51" t="s">
        <v>1157</v>
      </c>
      <c r="M238" s="2"/>
      <c r="N238" s="2"/>
      <c r="AF238" s="1951"/>
    </row>
    <row r="239" spans="1:32" ht="15.75" thickBot="1" x14ac:dyDescent="0.3">
      <c r="B239" s="2342" t="s">
        <v>1080</v>
      </c>
      <c r="C239" s="2343">
        <v>2511</v>
      </c>
      <c r="D239" s="2344">
        <v>2511</v>
      </c>
      <c r="M239" s="2"/>
      <c r="N239" s="2"/>
      <c r="AC239" s="14"/>
      <c r="AF239" s="1951"/>
    </row>
    <row r="240" spans="1:32" ht="15" customHeight="1" x14ac:dyDescent="0.25">
      <c r="M240" s="2"/>
      <c r="N240" s="2"/>
      <c r="AF240" s="1951"/>
    </row>
    <row r="241" spans="1:32" ht="15.75" thickBot="1" x14ac:dyDescent="0.3">
      <c r="B241" s="4" t="s">
        <v>1084</v>
      </c>
      <c r="C241"/>
      <c r="M241" s="2"/>
      <c r="N241" s="2"/>
      <c r="AF241" s="1951"/>
    </row>
    <row r="242" spans="1:32" ht="15.75" thickBot="1" x14ac:dyDescent="0.3">
      <c r="B242" s="2369" t="s">
        <v>1093</v>
      </c>
      <c r="C242" s="227" t="s">
        <v>1094</v>
      </c>
      <c r="M242" s="2"/>
      <c r="N242" s="2"/>
      <c r="AF242" s="1951"/>
    </row>
    <row r="243" spans="1:32" x14ac:dyDescent="0.25">
      <c r="B243" s="2339" t="s">
        <v>1083</v>
      </c>
      <c r="C243" s="2370">
        <v>703</v>
      </c>
      <c r="M243" s="2"/>
      <c r="N243" s="2"/>
      <c r="AF243" s="1951"/>
    </row>
    <row r="244" spans="1:32" ht="15.75" thickBot="1" x14ac:dyDescent="0.3">
      <c r="B244" s="2342" t="s">
        <v>1082</v>
      </c>
      <c r="C244" s="2344">
        <v>936</v>
      </c>
      <c r="M244" s="2"/>
      <c r="N244" s="2"/>
      <c r="AF244" s="1951"/>
    </row>
    <row r="245" spans="1:32" ht="15.75" thickBot="1" x14ac:dyDescent="0.3">
      <c r="M245" s="2"/>
      <c r="N245" s="2"/>
      <c r="AF245" s="1951"/>
    </row>
    <row r="246" spans="1:32" ht="14.45" customHeight="1" thickBot="1" x14ac:dyDescent="0.3">
      <c r="B246" s="908" t="s">
        <v>1102</v>
      </c>
      <c r="C246" s="224" t="s">
        <v>1103</v>
      </c>
      <c r="D246" s="2308" t="s">
        <v>1100</v>
      </c>
      <c r="E246" s="2918" t="s">
        <v>1104</v>
      </c>
      <c r="F246" s="2919"/>
      <c r="M246" s="2"/>
      <c r="N246" s="2"/>
      <c r="AF246" s="1951"/>
    </row>
    <row r="247" spans="1:32" ht="14.45" customHeight="1" x14ac:dyDescent="0.25">
      <c r="B247" s="2345" t="s">
        <v>1089</v>
      </c>
      <c r="C247" s="2346">
        <v>37545</v>
      </c>
      <c r="D247" s="2382">
        <v>7.0999999999999994E-2</v>
      </c>
      <c r="E247" s="2914" t="str">
        <f>D$247*100&amp;"% x (Toetsinkomen - €"&amp;C247&amp;")"</f>
        <v>7,1% x (Toetsinkomen - €37545)</v>
      </c>
      <c r="F247" s="2915"/>
      <c r="M247" s="2"/>
      <c r="N247" s="2"/>
      <c r="AF247" s="1951"/>
    </row>
    <row r="248" spans="1:32" ht="15.75" thickBot="1" x14ac:dyDescent="0.3">
      <c r="B248" s="2342" t="s">
        <v>1101</v>
      </c>
      <c r="C248" s="2343">
        <v>28406</v>
      </c>
      <c r="D248" s="2393"/>
      <c r="E248" s="2916" t="str">
        <f>D$247*100&amp;"% x (Toetsinkomen - €"&amp;C248&amp;")"</f>
        <v>7,1% x (Toetsinkomen - €28406)</v>
      </c>
      <c r="F248" s="2917"/>
      <c r="M248" s="2"/>
      <c r="N248" s="2"/>
      <c r="AF248" s="1951"/>
    </row>
    <row r="249" spans="1:32" ht="15.75" thickBot="1" x14ac:dyDescent="0.3">
      <c r="M249" s="2"/>
      <c r="N249" s="2"/>
      <c r="AF249" s="1951"/>
    </row>
    <row r="250" spans="1:32" ht="16.5" thickBot="1" x14ac:dyDescent="0.3">
      <c r="B250" s="708" t="s">
        <v>187</v>
      </c>
      <c r="C250" s="1013" t="str">
        <f>BGPartner_AP</f>
        <v>A. Plichtig</v>
      </c>
      <c r="D250" s="50" t="str">
        <f>BGPartner_AG</f>
        <v>A. Gerechtigd</v>
      </c>
      <c r="M250" s="2"/>
      <c r="N250" s="2"/>
      <c r="AF250" s="1951"/>
    </row>
    <row r="251" spans="1:32" ht="15.75" thickBot="1" x14ac:dyDescent="0.3">
      <c r="A251" s="404">
        <v>121</v>
      </c>
      <c r="B251" s="716" t="s">
        <v>986</v>
      </c>
      <c r="C251" s="595">
        <f>ROUND(IF(AL121NBI_AP&lt;0,0,AL121NBI_AP),1)</f>
        <v>0</v>
      </c>
      <c r="D251" s="595">
        <f>ROUND(IF(AL121NBI_AG&lt;0,0,AL121NBI_AG),1)</f>
        <v>0</v>
      </c>
      <c r="M251" s="393" t="s">
        <v>1125</v>
      </c>
      <c r="N251" s="2"/>
      <c r="AF251" s="1951"/>
    </row>
    <row r="252" spans="1:32" ht="14.45" customHeight="1" thickBot="1" x14ac:dyDescent="0.3">
      <c r="A252" s="404">
        <v>121</v>
      </c>
      <c r="B252" s="717" t="s">
        <v>987</v>
      </c>
      <c r="C252" s="596">
        <f>ROUND(IF(AL121NBI_AP+(AL81PeriodiekeUitk_AP/12)&lt;0,0,AL121NBI_AP+(AL81PeriodiekeUitk_AP/12)),1)</f>
        <v>0</v>
      </c>
      <c r="D252" s="596">
        <f>ROUND(IF(AL121NBI_AG+(AL81PeriodiekeUitk_AG/12)&lt;0,0,AL121NBI_AG+(AL81PeriodiekeUitk_AG/12)),1)</f>
        <v>0</v>
      </c>
      <c r="M252" s="2"/>
      <c r="N252" s="2"/>
      <c r="AF252" s="1951"/>
    </row>
    <row r="253" spans="1:32" ht="15.75" thickBot="1" x14ac:dyDescent="0.3">
      <c r="A253" s="39" t="s">
        <v>223</v>
      </c>
      <c r="B253" s="302" t="s">
        <v>101</v>
      </c>
      <c r="C253" s="2129" t="str">
        <f>BGPartner_AP</f>
        <v>A. Plichtig</v>
      </c>
      <c r="D253" s="1048" t="str">
        <f>BGPartner_AG</f>
        <v>A. Gerechtigd</v>
      </c>
      <c r="E253" s="50" t="s">
        <v>928</v>
      </c>
      <c r="F253" s="2871" t="s">
        <v>315</v>
      </c>
      <c r="G253" s="2871"/>
      <c r="H253" s="2871"/>
      <c r="I253" s="2871"/>
      <c r="J253" s="2872"/>
      <c r="M253" s="53" t="str">
        <f>BGPartner_AP</f>
        <v>A. Plichtig</v>
      </c>
      <c r="N253" s="18" t="str">
        <f>BGPartner_AG</f>
        <v>A. Gerechtigd</v>
      </c>
      <c r="AF253" s="1951"/>
    </row>
    <row r="254" spans="1:32" ht="16.899999999999999" customHeight="1" x14ac:dyDescent="0.25">
      <c r="A254" s="24">
        <v>122</v>
      </c>
      <c r="B254" s="96" t="s">
        <v>1026</v>
      </c>
      <c r="C254" s="595">
        <f>IF(BGAOWLeeftijdBereikt_AP="Nee",C275,C285)</f>
        <v>0</v>
      </c>
      <c r="D254" s="2130">
        <f>IF(BGAOWLeeftijdBereikt_AG="Nee",D275,D285)</f>
        <v>0</v>
      </c>
      <c r="E254" s="1478"/>
      <c r="F254" s="2856" t="s">
        <v>735</v>
      </c>
      <c r="G254" s="2857"/>
      <c r="H254" s="2857"/>
      <c r="I254" s="2857"/>
      <c r="J254" s="2858"/>
      <c r="M254" s="595">
        <f>IF(BGAOWLeeftijdBereikt_AP="Nee",M275,M285)</f>
        <v>0</v>
      </c>
      <c r="N254" s="595">
        <f>IF(BGAOWLeeftijdBereikt_AG="Nee",N275,N285)</f>
        <v>0</v>
      </c>
      <c r="AF254" s="1951"/>
    </row>
    <row r="255" spans="1:32" x14ac:dyDescent="0.25">
      <c r="A255" s="58">
        <v>122</v>
      </c>
      <c r="B255" s="133" t="s">
        <v>966</v>
      </c>
      <c r="C255" s="593">
        <f>IF(BGAOWLeeftijdBereikt_AP="Nee",VLOOKUP(C$254,$C$268:$G$274,5,FALSE),VLOOKUP(C$254,$C$279:$G$284,5,FALSE))</f>
        <v>1260</v>
      </c>
      <c r="D255" s="2161">
        <f>IF(BGAOWLeeftijdBereikt_AG="Nee",VLOOKUP(D$254,$D$268:$G$274,4,FALSE),VLOOKUP(D$254,$D$279:$G$284,4,FALSE))</f>
        <v>1260</v>
      </c>
      <c r="E255" s="2162"/>
      <c r="F255" s="2940" t="s">
        <v>392</v>
      </c>
      <c r="G255" s="2738"/>
      <c r="H255" s="2738"/>
      <c r="I255" s="2738"/>
      <c r="J255" s="2739"/>
      <c r="M255" s="593">
        <f>IF(BGAOWLeeftijdBereikt_AP="Nee",VLOOKUP(M$254,$M$268:$Q$274,5,FALSE),VLOOKUP(M$254,$M$279:$Q$284,5,FALSE))</f>
        <v>1260</v>
      </c>
      <c r="N255" s="593">
        <f>IF(BGAOWLeeftijdBereikt_AG="Nee",VLOOKUP(N$254,$N$268:$Q$274,4,FALSE),VLOOKUP(N$254,$N$279:$Q$284,4,FALSE))</f>
        <v>1260</v>
      </c>
      <c r="AF255" s="1951"/>
    </row>
    <row r="256" spans="1:32" ht="15.75" thickBot="1" x14ac:dyDescent="0.3">
      <c r="A256" s="58">
        <v>123</v>
      </c>
      <c r="B256" s="2159" t="str">
        <f>"Forfaitair woonbudget bij een NBI onder € "&amp;E274&amp;" / € "&amp;E284</f>
        <v>Forfaitair woonbudget bij een NBI onder € 2125 / € 2300</v>
      </c>
      <c r="C256" s="296">
        <f>IF(OR(AND(BGAOWLeeftijdBereikt_AP="Nee",C255=$G$274),AND(BGAOWLeeftijdBereikt_AP="Ja",C255=$G$284)),"Berekenen",IF(BGAOWLeeftijdBereikt_AP="Nee",VLOOKUP(C$254,$C$268:$I$274,7,FALSE),VLOOKUP(C$254,$C$279:$I$284,7,FALSE)))</f>
        <v>563</v>
      </c>
      <c r="D256" s="2161">
        <f>IF(OR(AND(BGAOWLeeftijdBereikt_AG="Nee",D255=$G$274),AND(BGAOWLeeftijdBereikt_AG="Ja",D255=$G$284)),"Berekenen",IF(BGAOWLeeftijdBereikt_AG="Nee",VLOOKUP(D$254,$D$268:$I$274,6,FALSE),VLOOKUP(D$254,$D$279:$I$284,6,FALSE)))</f>
        <v>563</v>
      </c>
      <c r="E256" s="2163"/>
      <c r="F256" s="2853" t="str">
        <f>"Woonbudget is bij een NBI onder € "&amp;E274&amp;" / € "&amp;E284&amp;" een vast forfaitair tabelbedrag!"</f>
        <v>Woonbudget is bij een NBI onder € 2125 / € 2300 een vast forfaitair tabelbedrag!</v>
      </c>
      <c r="G256" s="2854"/>
      <c r="H256" s="2854"/>
      <c r="I256" s="2854"/>
      <c r="J256" s="2855"/>
      <c r="M256" s="796">
        <f>IF(OR(AND(BGAOWLeeftijdBereikt_AP="Nee",M255=$G$274),AND(BGAOWLeeftijdBereikt_AP="Ja",M255=$G$284)),"Berekenen",IF(BGAOWLeeftijdBereikt_AP="Nee",VLOOKUP(M$254,$M$268:$S$274,7,FALSE),VLOOKUP(M$254,$M$279:$S$284,7,FALSE)))</f>
        <v>563</v>
      </c>
      <c r="N256" s="596">
        <f>IF(OR(AND(BGAOWLeeftijdBereikt_AG="Nee",N255=$G$274),AND(BGAOWLeeftijdBereikt_AG="Ja",N255=$G$284)),"Berekenen",IF(BGAOWLeeftijdBereikt_AG="Nee",VLOOKUP(N$254,$N$268:$S$274,6,FALSE),VLOOKUP(N$254,$N$279:$S$284,6,FALSE)))</f>
        <v>563</v>
      </c>
      <c r="AF256" s="1951"/>
    </row>
    <row r="257" spans="1:32" ht="18" thickBot="1" x14ac:dyDescent="0.3">
      <c r="A257" s="26">
        <v>123</v>
      </c>
      <c r="B257" s="2160" t="s">
        <v>375</v>
      </c>
      <c r="C257" s="596">
        <f>IF(OR(AND(BGOEWRekenModule="Nee",E174&gt;0),AND(BGOEWRekenModule="Ja",BGOEWForfaitaireLasten=BGPartner_AP)),$E$257,IF(AND(BGOEWRekenModule="Ja",BGOEWForfaitaireLasten=Keuzelijsten!$R$4),$E$257/2,0))</f>
        <v>0</v>
      </c>
      <c r="D257" s="2131">
        <f>IF(OR(AND(BGOEWRekenModule="Nee",E187&gt;0),AND(BGOEWRekenModule="Ja",BGOEWForfaitaireLasten=BGPartner_AG)),$E$257,IF(AND(BGOEWRekenModule="Ja",BGOEWForfaitaireLasten=Keuzelijsten!$R$4),$E$257/2,0))</f>
        <v>0</v>
      </c>
      <c r="E257" s="2182">
        <v>95</v>
      </c>
      <c r="F257" s="2944" t="s">
        <v>929</v>
      </c>
      <c r="G257" s="2945"/>
      <c r="H257" s="2945"/>
      <c r="I257" s="2945"/>
      <c r="J257" s="2946"/>
      <c r="M257" s="2"/>
      <c r="N257" s="2"/>
      <c r="AF257" s="1951"/>
    </row>
    <row r="258" spans="1:32" x14ac:dyDescent="0.25">
      <c r="E258" s="22"/>
      <c r="M258" s="2"/>
      <c r="N258" s="2"/>
      <c r="AF258" s="1951"/>
    </row>
    <row r="259" spans="1:32" ht="16.5" thickBot="1" x14ac:dyDescent="0.3">
      <c r="B259" s="708" t="s">
        <v>899</v>
      </c>
      <c r="E259" s="22"/>
      <c r="M259" s="2"/>
      <c r="N259" s="2"/>
      <c r="AF259" s="1951"/>
    </row>
    <row r="260" spans="1:32" ht="15.75" thickBot="1" x14ac:dyDescent="0.3">
      <c r="A260" s="39" t="s">
        <v>223</v>
      </c>
      <c r="B260" s="132" t="s">
        <v>101</v>
      </c>
      <c r="C260" s="1013" t="str">
        <f>BGPartner_AP</f>
        <v>A. Plichtig</v>
      </c>
      <c r="D260" s="50" t="str">
        <f>BGPartner_AG</f>
        <v>A. Gerechtigd</v>
      </c>
      <c r="E260" s="943" t="s">
        <v>928</v>
      </c>
      <c r="F260" s="2755" t="s">
        <v>315</v>
      </c>
      <c r="G260" s="2756"/>
      <c r="H260" s="2756"/>
      <c r="I260" s="2756"/>
      <c r="J260" s="2705"/>
      <c r="M260" s="2"/>
      <c r="N260" s="2"/>
      <c r="AF260" s="1951"/>
    </row>
    <row r="261" spans="1:32" ht="15" customHeight="1" x14ac:dyDescent="0.25">
      <c r="A261" s="56">
        <v>123</v>
      </c>
      <c r="B261" s="777" t="s">
        <v>898</v>
      </c>
      <c r="C261" s="67">
        <v>0</v>
      </c>
      <c r="D261" s="67">
        <v>0</v>
      </c>
      <c r="E261" s="944">
        <v>0</v>
      </c>
      <c r="F261" s="2941" t="s">
        <v>382</v>
      </c>
      <c r="G261" s="2942"/>
      <c r="H261" s="2942"/>
      <c r="I261" s="2942"/>
      <c r="J261" s="2943"/>
      <c r="M261" s="2"/>
      <c r="N261" s="2"/>
      <c r="AF261" s="1951"/>
    </row>
    <row r="262" spans="1:32" x14ac:dyDescent="0.25">
      <c r="A262" s="25">
        <v>123</v>
      </c>
      <c r="B262" s="778" t="s">
        <v>900</v>
      </c>
      <c r="C262" s="593">
        <f>E262</f>
        <v>900.07</v>
      </c>
      <c r="D262" s="593">
        <f>E262</f>
        <v>900.07</v>
      </c>
      <c r="E262" s="630">
        <v>900.07</v>
      </c>
      <c r="F262" s="2882" t="s">
        <v>599</v>
      </c>
      <c r="G262" s="2883"/>
      <c r="H262" s="2883"/>
      <c r="I262" s="2883"/>
      <c r="J262" s="2884"/>
      <c r="M262" s="2"/>
      <c r="N262" s="2"/>
      <c r="AF262" s="1951"/>
    </row>
    <row r="263" spans="1:32" ht="15.75" thickBot="1" x14ac:dyDescent="0.3">
      <c r="A263" s="27">
        <v>123</v>
      </c>
      <c r="B263" s="779" t="s">
        <v>901</v>
      </c>
      <c r="C263" s="68">
        <v>0</v>
      </c>
      <c r="D263" s="68">
        <v>0</v>
      </c>
      <c r="E263" s="931">
        <v>0</v>
      </c>
      <c r="F263" s="932" t="s">
        <v>403</v>
      </c>
      <c r="G263" s="2824" t="s">
        <v>404</v>
      </c>
      <c r="H263" s="2825"/>
      <c r="I263" s="2825"/>
      <c r="J263" s="2826"/>
      <c r="M263" s="2"/>
      <c r="N263" s="2"/>
      <c r="AF263" s="1951"/>
    </row>
    <row r="264" spans="1:32" ht="16.5" thickBot="1" x14ac:dyDescent="0.3">
      <c r="B264" s="707" t="s">
        <v>530</v>
      </c>
      <c r="C264" s="1136">
        <f>AL94VerzInkomen_AP</f>
        <v>0</v>
      </c>
      <c r="D264" s="1136">
        <f>AL94VerzInkomen_AG</f>
        <v>0</v>
      </c>
      <c r="M264" s="2"/>
      <c r="N264" s="2"/>
      <c r="AF264" s="1951"/>
    </row>
    <row r="265" spans="1:32" x14ac:dyDescent="0.25">
      <c r="M265" s="2"/>
      <c r="N265" s="2"/>
      <c r="AF265" s="1951"/>
    </row>
    <row r="266" spans="1:32" ht="15.75" thickBot="1" x14ac:dyDescent="0.3">
      <c r="A266" s="14">
        <v>122</v>
      </c>
      <c r="B266" s="2190" t="s">
        <v>372</v>
      </c>
      <c r="M266" s="2"/>
      <c r="N266" s="2"/>
      <c r="AF266" s="1951"/>
    </row>
    <row r="267" spans="1:32" ht="15.75" thickBot="1" x14ac:dyDescent="0.3">
      <c r="A267" s="8" t="s">
        <v>223</v>
      </c>
      <c r="B267" s="95" t="s">
        <v>374</v>
      </c>
      <c r="C267" s="53" t="str">
        <f>BGPartner_AP</f>
        <v>A. Plichtig</v>
      </c>
      <c r="D267" s="18" t="str">
        <f>BGPartner_AG</f>
        <v>A. Gerechtigd</v>
      </c>
      <c r="E267" s="63" t="s">
        <v>373</v>
      </c>
      <c r="F267" s="2137" t="s">
        <v>522</v>
      </c>
      <c r="G267" s="5" t="s">
        <v>985</v>
      </c>
      <c r="H267" s="244" t="s">
        <v>57</v>
      </c>
      <c r="I267" s="8" t="s">
        <v>988</v>
      </c>
      <c r="J267" s="1382" t="s">
        <v>633</v>
      </c>
      <c r="M267" s="53" t="str">
        <f>BGPartner_AP</f>
        <v>A. Plichtig</v>
      </c>
      <c r="N267" s="18" t="str">
        <f>BGPartner_AG</f>
        <v>A. Gerechtigd</v>
      </c>
      <c r="O267" s="63" t="s">
        <v>373</v>
      </c>
      <c r="P267" s="2137" t="s">
        <v>522</v>
      </c>
      <c r="Q267" s="5" t="s">
        <v>985</v>
      </c>
      <c r="R267" s="244" t="s">
        <v>57</v>
      </c>
      <c r="S267" s="8" t="s">
        <v>988</v>
      </c>
      <c r="AF267" s="1951"/>
    </row>
    <row r="268" spans="1:32" x14ac:dyDescent="0.25">
      <c r="A268" s="298">
        <v>1</v>
      </c>
      <c r="B268" s="133" t="str">
        <f>"NBI van € "&amp;E268&amp;" tot € "&amp;F268</f>
        <v>NBI van € 0 tot € 1875</v>
      </c>
      <c r="C268" s="299">
        <f>IF(AND(AL121NBI_KA_AP&gt;=$E268,AL121NBI_KA_AP&lt;$F268),IF(OR(AL121NBI_KA_AP=C$212,$C$322=0),0,IF($C$322=1,G268,IF($C$322&gt;1,$H268*2,"???"))),"n.v.t")</f>
        <v>0</v>
      </c>
      <c r="D268" s="299">
        <f>IF(AND(AL121NBI_KA_AG&gt;=$E268,AL121NBI_KA_AG&lt;$F268),IF(OR(AL121NBI_KA_AG=E$212,$D$322=0),0,IF($D$322=1,H268,IF($D$322&gt;1,$H268*2,"???"))),"n.v.t")</f>
        <v>0</v>
      </c>
      <c r="E268" s="592">
        <v>0</v>
      </c>
      <c r="F268" s="2138">
        <v>1875</v>
      </c>
      <c r="G268" s="971">
        <f>G269</f>
        <v>1260</v>
      </c>
      <c r="H268" s="2138">
        <v>25</v>
      </c>
      <c r="I268" s="2148">
        <f>I269</f>
        <v>563</v>
      </c>
      <c r="J268" s="2144">
        <f>J269</f>
        <v>1823</v>
      </c>
      <c r="M268" s="299">
        <f>IF(AND(AL121NBI_KA_AP_Z_KGB&gt;=$E268,AL121NBI_KA_AP_Z_KGB&lt;$F268),IF(OR(AL121NBI_KA_AP_Z_KGB=M$212,$C$322=0),0,IF($C$322=1,Q268,IF($C$322&gt;1,$H268*2,"???"))),"n.v.t")</f>
        <v>0</v>
      </c>
      <c r="N268" s="299">
        <f>IF(AND(AL121NBI_KA_AG_Z_KGB&gt;=$E268,AL121NBI_KA_AG_Z_KGB&lt;$F268),IF(OR(AL121NBI_KA_AG_Z_KGB=O$212,$D$322=0),0,IF($D$322=1,R268,IF($D$322&gt;1,$H268*2,"???"))),"n.v.t")</f>
        <v>0</v>
      </c>
      <c r="O268" s="2498" cm="1">
        <f t="array" ref="O268:S274">E268:I274</f>
        <v>0</v>
      </c>
      <c r="P268" s="2499">
        <v>1875</v>
      </c>
      <c r="Q268" s="971">
        <v>1260</v>
      </c>
      <c r="R268" s="2499">
        <v>25</v>
      </c>
      <c r="S268" s="2148">
        <v>563</v>
      </c>
      <c r="AF268" s="1951"/>
    </row>
    <row r="269" spans="1:32" x14ac:dyDescent="0.25">
      <c r="A269" s="58">
        <v>2</v>
      </c>
      <c r="B269" s="133" t="str">
        <f>"NBI van € "&amp;E269&amp;" tot € "&amp;F269&amp;" - zie tabelbedragen"</f>
        <v>NBI van € 1875 tot € 1925 - zie tabelbedragen</v>
      </c>
      <c r="C269" s="296" t="str">
        <f>IF(AND(AL121NBI_KA_AP&gt;=$E269,AL121NBI_KA_AP&lt;$F269),$H269,"n.v.t")</f>
        <v>n.v.t</v>
      </c>
      <c r="D269" s="296" t="str">
        <f>IF(AND(AL121NBI_KA_AG&gt;=$E269,AL121NBI_KA_AG&lt;$F269),$H269,"n.v.t")</f>
        <v>n.v.t</v>
      </c>
      <c r="E269" s="417">
        <f t="shared" ref="E269:E274" si="55">F268</f>
        <v>1875</v>
      </c>
      <c r="F269" s="2139">
        <v>1925</v>
      </c>
      <c r="G269" s="2136">
        <v>1260</v>
      </c>
      <c r="H269" s="2139">
        <v>53</v>
      </c>
      <c r="I269" s="2149">
        <v>563</v>
      </c>
      <c r="J269" s="2145">
        <v>1823</v>
      </c>
      <c r="M269" s="296" t="str">
        <f>IF(AND(AL121NBI_KA_AP_Z_KGB&gt;=$E269,AL121NBI_KA_AP_Z_KGB&lt;$F269),$H269,"n.v.t")</f>
        <v>n.v.t</v>
      </c>
      <c r="N269" s="296" t="str">
        <f>IF(AND(AL121NBI_KA_AG_Z_KGB&gt;=$E269,AL121NBI_KA_AG_Z_KGB&lt;$F269),$H269,"n.v.t")</f>
        <v>n.v.t</v>
      </c>
      <c r="O269" s="417">
        <v>1875</v>
      </c>
      <c r="P269" s="2500">
        <v>1925</v>
      </c>
      <c r="Q269" s="974">
        <v>1260</v>
      </c>
      <c r="R269" s="2500">
        <v>53</v>
      </c>
      <c r="S269" s="2501">
        <v>563</v>
      </c>
      <c r="AF269" s="1951"/>
    </row>
    <row r="270" spans="1:32" x14ac:dyDescent="0.25">
      <c r="A270" s="58">
        <v>3</v>
      </c>
      <c r="B270" s="133" t="str">
        <f>"NBI van € "&amp;E270&amp;" tot € "&amp;F270&amp;" - zie tabelbedragen"</f>
        <v>NBI van € 1925 tot € 1975 - zie tabelbedragen</v>
      </c>
      <c r="C270" s="296" t="str">
        <f>IF(AND(AL121NBI_KA_AP&gt;=$E270,AL121NBI_KA_AP&lt;$F270),$H270,"n.v.t")</f>
        <v>n.v.t</v>
      </c>
      <c r="D270" s="296" t="str">
        <f>IF(AND(AL121NBI_KA_AG&gt;=$E270,AL121NBI_KA_AG&lt;$F270),$H270,"n.v.t")</f>
        <v>n.v.t</v>
      </c>
      <c r="E270" s="417">
        <f t="shared" si="55"/>
        <v>1925</v>
      </c>
      <c r="F270" s="2139">
        <v>1975</v>
      </c>
      <c r="G270" s="2136">
        <v>1260</v>
      </c>
      <c r="H270" s="2139">
        <v>79</v>
      </c>
      <c r="I270" s="2149">
        <v>578</v>
      </c>
      <c r="J270" s="2145">
        <v>1838</v>
      </c>
      <c r="M270" s="296" t="str">
        <f>IF(AND(AL121NBI_KA_AP_Z_KGB&gt;=$E270,AL121NBI_KA_AP_Z_KGB&lt;$F270),$H270,"n.v.t")</f>
        <v>n.v.t</v>
      </c>
      <c r="N270" s="296" t="str">
        <f>IF(AND(AL121NBI_KA_AG_Z_KGB&gt;=$E270,AL121NBI_KA_AG_Z_KGB&lt;$F270),$H270,"n.v.t")</f>
        <v>n.v.t</v>
      </c>
      <c r="O270" s="417">
        <v>1925</v>
      </c>
      <c r="P270" s="2500">
        <v>1975</v>
      </c>
      <c r="Q270" s="974">
        <v>1260</v>
      </c>
      <c r="R270" s="2500">
        <v>79</v>
      </c>
      <c r="S270" s="2501">
        <v>578</v>
      </c>
      <c r="AF270" s="1951"/>
    </row>
    <row r="271" spans="1:32" x14ac:dyDescent="0.25">
      <c r="A271" s="58">
        <v>4</v>
      </c>
      <c r="B271" s="133" t="str">
        <f>"NBI van € "&amp;E271&amp;" tot € "&amp;F271&amp;" - zie tabelbedragen"</f>
        <v>NBI van € 1975 tot € 2025 - zie tabelbedragen</v>
      </c>
      <c r="C271" s="296" t="str">
        <f>IF(AND(AL121NBI_KA_AP&gt;=$E271,AL121NBI_KA_AP&lt;$F271),$H271,"n.v.t")</f>
        <v>n.v.t</v>
      </c>
      <c r="D271" s="296" t="str">
        <f>IF(AND(AL121NBI_KA_AG&gt;=$E271,AL121NBI_KA_AG&lt;$F271),$H271,"n.v.t")</f>
        <v>n.v.t</v>
      </c>
      <c r="E271" s="417">
        <f t="shared" si="55"/>
        <v>1975</v>
      </c>
      <c r="F271" s="2139">
        <v>2025</v>
      </c>
      <c r="G271" s="2136">
        <v>1260</v>
      </c>
      <c r="H271" s="2139">
        <v>98</v>
      </c>
      <c r="I271" s="2149">
        <v>593</v>
      </c>
      <c r="J271" s="2145">
        <v>1853</v>
      </c>
      <c r="M271" s="296" t="str">
        <f>IF(AND(AL121NBI_KA_AP_Z_KGB&gt;=$E271,AL121NBI_KA_AP_Z_KGB&lt;$F271),$H271,"n.v.t")</f>
        <v>n.v.t</v>
      </c>
      <c r="N271" s="296" t="str">
        <f>IF(AND(AL121NBI_KA_AG_Z_KGB&gt;=$E271,AL121NBI_KA_AG_Z_KGB&lt;$F271),$H271,"n.v.t")</f>
        <v>n.v.t</v>
      </c>
      <c r="O271" s="417">
        <v>1975</v>
      </c>
      <c r="P271" s="2500">
        <v>2025</v>
      </c>
      <c r="Q271" s="974">
        <v>1260</v>
      </c>
      <c r="R271" s="2500">
        <v>98</v>
      </c>
      <c r="S271" s="2501">
        <v>593</v>
      </c>
      <c r="AF271" s="1951"/>
    </row>
    <row r="272" spans="1:32" x14ac:dyDescent="0.25">
      <c r="A272" s="58">
        <v>5</v>
      </c>
      <c r="B272" s="133" t="str">
        <f>"NBI van € "&amp;E272&amp;" tot € "&amp;F272&amp;" - zie tabelbedragen"</f>
        <v>NBI van € 2025 tot € 2075 - zie tabelbedragen</v>
      </c>
      <c r="C272" s="296" t="str">
        <f>IF(AND(AL121NBI_KA_AP&gt;=$E272,AL121NBI_KA_AP&lt;$F272),$H272,"n.v.t")</f>
        <v>n.v.t</v>
      </c>
      <c r="D272" s="296" t="str">
        <f>IF(AND(AL121NBI_KA_AG&gt;=$E272,AL121NBI_KA_AG&lt;$F272),$H272,"n.v.t")</f>
        <v>n.v.t</v>
      </c>
      <c r="E272" s="417">
        <f t="shared" si="55"/>
        <v>2025</v>
      </c>
      <c r="F272" s="2139">
        <v>2075</v>
      </c>
      <c r="G272" s="2136">
        <v>1260</v>
      </c>
      <c r="H272" s="2139">
        <v>110</v>
      </c>
      <c r="I272" s="2149">
        <v>608</v>
      </c>
      <c r="J272" s="2145">
        <v>1868</v>
      </c>
      <c r="M272" s="296" t="str">
        <f>IF(AND(AL121NBI_KA_AP_Z_KGB&gt;=$E272,AL121NBI_KA_AP_Z_KGB&lt;$F272),$H272,"n.v.t")</f>
        <v>n.v.t</v>
      </c>
      <c r="N272" s="296" t="str">
        <f>IF(AND(AL121NBI_KA_AG_Z_KGB&gt;=$E272,AL121NBI_KA_AG_Z_KGB&lt;$F272),$H272,"n.v.t")</f>
        <v>n.v.t</v>
      </c>
      <c r="O272" s="417">
        <v>2025</v>
      </c>
      <c r="P272" s="2500">
        <v>2075</v>
      </c>
      <c r="Q272" s="974">
        <v>1260</v>
      </c>
      <c r="R272" s="2500">
        <v>110</v>
      </c>
      <c r="S272" s="2501">
        <v>608</v>
      </c>
      <c r="AF272" s="1951"/>
    </row>
    <row r="273" spans="1:32" ht="15.75" thickBot="1" x14ac:dyDescent="0.3">
      <c r="A273" s="152">
        <v>6</v>
      </c>
      <c r="B273" s="146" t="str">
        <f>"NBI van € "&amp;E273&amp;" tot € "&amp;F273&amp;" - zie tabelbedragen"</f>
        <v>NBI van € 2075 tot € 2125 - zie tabelbedragen</v>
      </c>
      <c r="C273" s="297" t="str">
        <f>IF(AND(AL121NBI_KA_AP&gt;=$E273,AL121NBI_KA_AP&lt;$F273),$H273,"n.v.t")</f>
        <v>n.v.t</v>
      </c>
      <c r="D273" s="297" t="str">
        <f>IF(AND(AL121NBI_KA_AG&gt;=$E273,AL121NBI_KA_AG&lt;$F273),$H273,"n.v.t")</f>
        <v>n.v.t</v>
      </c>
      <c r="E273" s="2140">
        <f t="shared" si="55"/>
        <v>2075</v>
      </c>
      <c r="F273" s="2141">
        <v>2125</v>
      </c>
      <c r="G273" s="2142">
        <v>1285</v>
      </c>
      <c r="H273" s="2141">
        <v>117</v>
      </c>
      <c r="I273" s="2150">
        <v>623</v>
      </c>
      <c r="J273" s="2146">
        <v>1908</v>
      </c>
      <c r="M273" s="297" t="str">
        <f>IF(AND(AL121NBI_KA_AP_Z_KGB&gt;=$E273,AL121NBI_KA_AP_Z_KGB&lt;$F273),$H273,"n.v.t")</f>
        <v>n.v.t</v>
      </c>
      <c r="N273" s="297" t="str">
        <f>IF(AND(AL121NBI_KA_AG_Z_KGB&gt;=$E273,AL121NBI_KA_AG_Z_KGB&lt;$F273),$H273,"n.v.t")</f>
        <v>n.v.t</v>
      </c>
      <c r="O273" s="2140">
        <v>2075</v>
      </c>
      <c r="P273" s="2502">
        <v>2125</v>
      </c>
      <c r="Q273" s="972">
        <v>1285</v>
      </c>
      <c r="R273" s="2502">
        <v>117</v>
      </c>
      <c r="S273" s="2503">
        <v>623</v>
      </c>
      <c r="AF273" s="1951"/>
    </row>
    <row r="274" spans="1:32" ht="15.75" thickBot="1" x14ac:dyDescent="0.3">
      <c r="A274" s="147">
        <v>7</v>
      </c>
      <c r="B274" s="1675" t="str">
        <f>"NBI vanaf € "&amp;E274&amp;": "&amp;I275*100&amp;"% van (NBI - ("&amp;J275&amp;" x NBI + "&amp;G274&amp;")"</f>
        <v>NBI vanaf € 2125: 70% van (NBI - (0,3 x NBI + 1310)</v>
      </c>
      <c r="C274" s="1497">
        <v>0</v>
      </c>
      <c r="D274" s="1497">
        <v>0</v>
      </c>
      <c r="E274" s="603">
        <f t="shared" si="55"/>
        <v>2125</v>
      </c>
      <c r="F274" s="2143">
        <v>0</v>
      </c>
      <c r="G274" s="2128">
        <v>1310</v>
      </c>
      <c r="H274" s="2143">
        <v>124</v>
      </c>
      <c r="I274" s="2188">
        <v>638</v>
      </c>
      <c r="J274" s="2189">
        <v>1948</v>
      </c>
      <c r="M274" s="1497">
        <v>0</v>
      </c>
      <c r="N274" s="1497">
        <v>0</v>
      </c>
      <c r="O274" s="603">
        <v>2125</v>
      </c>
      <c r="P274" s="2504">
        <v>0</v>
      </c>
      <c r="Q274" s="2505">
        <v>1310</v>
      </c>
      <c r="R274" s="2504">
        <v>124</v>
      </c>
      <c r="S274" s="2506">
        <v>638</v>
      </c>
      <c r="AF274" s="1951"/>
    </row>
    <row r="275" spans="1:32" ht="15.75" thickBot="1" x14ac:dyDescent="0.3">
      <c r="A275" s="151">
        <v>122</v>
      </c>
      <c r="B275" s="998" t="s">
        <v>376</v>
      </c>
      <c r="C275" s="49">
        <f>IF(BGAOWLeeftijdBereikt_AP="Ja","Zie AOW-tabel",SUM(C268:C274))</f>
        <v>0</v>
      </c>
      <c r="D275" s="49">
        <f>IF(BGAOWLeeftijdBereikt_AG="Ja","Zie AOW-tabel",SUM(D268:D274))</f>
        <v>0</v>
      </c>
      <c r="F275" s="22"/>
      <c r="G275" s="22"/>
      <c r="H275" s="22"/>
      <c r="I275" s="2151">
        <v>0.7</v>
      </c>
      <c r="J275" s="2147">
        <v>0.3</v>
      </c>
      <c r="M275" s="49">
        <f>IF(BGAOWLeeftijdBereikt_AP="Ja","Zie AOW-tabel",SUM(M268:M274))</f>
        <v>0</v>
      </c>
      <c r="N275" s="49">
        <f>IF(BGAOWLeeftijdBereikt_AG="Ja","Zie AOW-tabel",SUM(N268:N274))</f>
        <v>0</v>
      </c>
      <c r="AF275" s="1951"/>
    </row>
    <row r="276" spans="1:32" ht="15.75" thickBot="1" x14ac:dyDescent="0.3">
      <c r="F276" s="633"/>
      <c r="G276" s="633"/>
      <c r="H276" s="22"/>
      <c r="I276" s="2154" t="s">
        <v>77</v>
      </c>
      <c r="J276" s="2153" t="s">
        <v>230</v>
      </c>
      <c r="M276" s="2"/>
      <c r="N276" s="2"/>
      <c r="AF276" s="1951"/>
    </row>
    <row r="277" spans="1:32" ht="15" customHeight="1" thickBot="1" x14ac:dyDescent="0.3">
      <c r="A277" s="14">
        <v>122</v>
      </c>
      <c r="B277" s="2190" t="s">
        <v>377</v>
      </c>
      <c r="F277" s="22"/>
      <c r="G277" s="22"/>
      <c r="H277" s="22"/>
      <c r="I277" s="22"/>
      <c r="J277" s="22"/>
      <c r="M277" s="2"/>
      <c r="N277" s="2"/>
      <c r="AF277" s="1951"/>
    </row>
    <row r="278" spans="1:32" ht="15.75" thickBot="1" x14ac:dyDescent="0.3">
      <c r="A278" s="8" t="s">
        <v>223</v>
      </c>
      <c r="B278" s="95" t="s">
        <v>374</v>
      </c>
      <c r="C278" s="53" t="str">
        <f>BGPartner_AP</f>
        <v>A. Plichtig</v>
      </c>
      <c r="D278" s="18" t="str">
        <f>BGPartner_AG</f>
        <v>A. Gerechtigd</v>
      </c>
      <c r="E278" s="63" t="s">
        <v>373</v>
      </c>
      <c r="F278" s="2133" t="s">
        <v>522</v>
      </c>
      <c r="G278" s="5" t="s">
        <v>985</v>
      </c>
      <c r="H278" s="2152" t="s">
        <v>57</v>
      </c>
      <c r="I278" s="8" t="s">
        <v>988</v>
      </c>
      <c r="J278" s="1382" t="s">
        <v>633</v>
      </c>
      <c r="M278" s="53" t="str">
        <f>BGPartner_AP</f>
        <v>A. Plichtig</v>
      </c>
      <c r="N278" s="18" t="str">
        <f>BGPartner_AG</f>
        <v>A. Gerechtigd</v>
      </c>
      <c r="O278" s="63" t="s">
        <v>373</v>
      </c>
      <c r="P278" s="2137" t="s">
        <v>522</v>
      </c>
      <c r="Q278" s="5" t="s">
        <v>985</v>
      </c>
      <c r="R278" s="244" t="s">
        <v>57</v>
      </c>
      <c r="S278" s="8" t="s">
        <v>988</v>
      </c>
      <c r="AF278" s="1951"/>
    </row>
    <row r="279" spans="1:32" x14ac:dyDescent="0.25">
      <c r="A279" s="298">
        <v>1</v>
      </c>
      <c r="B279" s="133" t="str">
        <f>"NBI van € "&amp;E279&amp;" tot € "&amp;F279</f>
        <v>NBI van € 0 tot € 2100</v>
      </c>
      <c r="C279" s="299">
        <f>IF(AND(AL121NBI_KA_AP&gt;=$E279,AL121NBI_KA_AP&lt;$F279),IF(OR(AL121NBI_KA_AP=C$212,$C$322=0),0,IF($C$322=1,G279,IF($C$322&gt;1,$H279*2,"???"))),"n.v.t")</f>
        <v>0</v>
      </c>
      <c r="D279" s="299">
        <f>IF(AND(AL121NBI_KA_AG&gt;=$E279,AL121NBI_KA_AG&lt;$F279),IF(OR(AL121NBI_KA_AG=E$212,$D$322=0),0,IF($D$322=1,H279,IF($D$322&gt;1,$H279*2,"???"))),"n.v.t")</f>
        <v>0</v>
      </c>
      <c r="E279" s="591">
        <v>0</v>
      </c>
      <c r="F279" s="2134">
        <v>2100</v>
      </c>
      <c r="G279" s="971">
        <f>G280</f>
        <v>1415</v>
      </c>
      <c r="H279" s="2134">
        <v>25</v>
      </c>
      <c r="I279" s="2148">
        <f>I280</f>
        <v>630</v>
      </c>
      <c r="J279" s="2144">
        <f>J280</f>
        <v>2045</v>
      </c>
      <c r="M279" s="299">
        <f>IF(AND(AL121NBI_KA_AP_Z_KGB&gt;=$E279,AL121NBI_KA_AP_Z_KGB&lt;$F279),IF(OR(AL121NBI_KA_AP_Z_KGB=M$212,$C$322=0),0,IF($C$322=1,Q279,IF($C$322&gt;1,$H279*2,"???"))),"n.v.t")</f>
        <v>0</v>
      </c>
      <c r="N279" s="299">
        <f>IF(AND(AL121NBI_KA_AG_Z_KGB&gt;=$E279,AL121NBI_KA_AG_Z_KGB&lt;$F279),IF(OR(AL121NBI_KA_AG_Z_KGB=O$212,$D$322=0),0,IF($D$322=1,R279,IF($D$322&gt;1,$H279*2,"???"))),"n.v.t")</f>
        <v>0</v>
      </c>
      <c r="O279" s="2498" cm="1">
        <f t="array" ref="O279:S284">E279:I284</f>
        <v>0</v>
      </c>
      <c r="P279" s="2499">
        <v>2100</v>
      </c>
      <c r="Q279" s="971">
        <v>1415</v>
      </c>
      <c r="R279" s="2499">
        <v>25</v>
      </c>
      <c r="S279" s="2148">
        <v>630</v>
      </c>
      <c r="AF279" s="1951"/>
    </row>
    <row r="280" spans="1:32" s="866" customFormat="1" ht="15.75" customHeight="1" x14ac:dyDescent="0.25">
      <c r="A280" s="58">
        <v>2</v>
      </c>
      <c r="B280" s="133" t="str">
        <f>"NBI van € "&amp;E280&amp;" tot € "&amp;F280&amp;" - zie tabelbedragen"</f>
        <v>NBI van € 2100 tot € 2150 - zie tabelbedragen</v>
      </c>
      <c r="C280" s="296" t="str">
        <f>IF(AND(AL121NBI_KA_AP&gt;=$E280,AL121NBI_KA_AP&lt;$F280),$H280,"n.v.t")</f>
        <v>n.v.t</v>
      </c>
      <c r="D280" s="296" t="str">
        <f>IF(AND(AL121NBI_KA_AG&gt;=$E280,AL121NBI_KA_AG&lt;$F280),$H280,"n.v.t")</f>
        <v>n.v.t</v>
      </c>
      <c r="E280" s="416">
        <f>F279</f>
        <v>2100</v>
      </c>
      <c r="F280" s="2135">
        <v>2150</v>
      </c>
      <c r="G280" s="2136">
        <v>1415</v>
      </c>
      <c r="H280" s="2135">
        <v>50</v>
      </c>
      <c r="I280" s="2149">
        <v>630</v>
      </c>
      <c r="J280" s="2145">
        <v>2045</v>
      </c>
      <c r="K280" s="2"/>
      <c r="L280" s="2"/>
      <c r="M280" s="296" t="str">
        <f>IF(AND(AL121NBI_KA_AP_Z_KGB&gt;=$E280,AL121NBI_KA_AP_Z_KGB&lt;$F280),$H280,"n.v.t")</f>
        <v>n.v.t</v>
      </c>
      <c r="N280" s="296" t="str">
        <f>IF(AND(AL121NBI_KA_AG_Z_KGB&gt;=$E280,AL121NBI_KA_AG_Z_KGB&lt;$F280),$H280,"n.v.t")</f>
        <v>n.v.t</v>
      </c>
      <c r="O280" s="417">
        <v>2100</v>
      </c>
      <c r="P280" s="2500">
        <v>2150</v>
      </c>
      <c r="Q280" s="974">
        <v>1415</v>
      </c>
      <c r="R280" s="2500">
        <v>50</v>
      </c>
      <c r="S280" s="2501">
        <v>630</v>
      </c>
      <c r="Z280" s="2"/>
      <c r="AA280" s="2"/>
      <c r="AB280" s="2"/>
      <c r="AC280" s="2"/>
      <c r="AD280" s="2"/>
      <c r="AE280" s="2"/>
      <c r="AF280" s="1952"/>
    </row>
    <row r="281" spans="1:32" x14ac:dyDescent="0.25">
      <c r="A281" s="58">
        <v>3</v>
      </c>
      <c r="B281" s="133" t="str">
        <f>"NBI van € "&amp;E281&amp;" tot € "&amp;F281&amp;" - zie tabelbedragen"</f>
        <v>NBI van € 2150 tot € 2200 - zie tabelbedragen</v>
      </c>
      <c r="C281" s="296" t="str">
        <f>IF(AND(AL121NBI_KA_AP&gt;=$E281,AL121NBI_KA_AP&lt;$F281),$H281,"n.v.t")</f>
        <v>n.v.t</v>
      </c>
      <c r="D281" s="296" t="str">
        <f>IF(AND(AL121NBI_KA_AG&gt;=$E281,AL121NBI_KA_AG&lt;$F281),$H281,"n.v.t")</f>
        <v>n.v.t</v>
      </c>
      <c r="E281" s="416">
        <f>F280</f>
        <v>2150</v>
      </c>
      <c r="F281" s="2135">
        <v>2200</v>
      </c>
      <c r="G281" s="2136">
        <v>1415</v>
      </c>
      <c r="H281" s="2135">
        <v>72</v>
      </c>
      <c r="I281" s="2149">
        <v>645</v>
      </c>
      <c r="J281" s="2145">
        <v>2060</v>
      </c>
      <c r="L281" s="866"/>
      <c r="M281" s="296" t="str">
        <f>IF(AND(AL121NBI_KA_AP_Z_KGB&gt;=$E281,AL121NBI_KA_AP_Z_KGB&lt;$F281),$H281,"n.v.t")</f>
        <v>n.v.t</v>
      </c>
      <c r="N281" s="296" t="str">
        <f>IF(AND(AL121NBI_KA_AG_Z_KGB&gt;=$E281,AL121NBI_KA_AG_Z_KGB&lt;$F281),$H281,"n.v.t")</f>
        <v>n.v.t</v>
      </c>
      <c r="O281" s="417">
        <v>2150</v>
      </c>
      <c r="P281" s="2500">
        <v>2200</v>
      </c>
      <c r="Q281" s="974">
        <v>1415</v>
      </c>
      <c r="R281" s="2500">
        <v>72</v>
      </c>
      <c r="S281" s="2501">
        <v>645</v>
      </c>
      <c r="Z281" s="866"/>
      <c r="AA281" s="866"/>
      <c r="AB281" s="866"/>
      <c r="AC281" s="866"/>
      <c r="AD281" s="866"/>
      <c r="AE281" s="866"/>
      <c r="AF281" s="1951"/>
    </row>
    <row r="282" spans="1:32" x14ac:dyDescent="0.25">
      <c r="A282" s="58">
        <v>4</v>
      </c>
      <c r="B282" s="133" t="str">
        <f>"NBI van € "&amp;E282&amp;" tot € "&amp;F282&amp;" - zie tabelbedragen"</f>
        <v>NBI van € 2200 tot € 2250 - zie tabelbedragen</v>
      </c>
      <c r="C282" s="296" t="str">
        <f>IF(AND(AL121NBI_KA_AP&gt;=$E282,AL121NBI_KA_AP&lt;$F282),$H282,"n.v.t")</f>
        <v>n.v.t</v>
      </c>
      <c r="D282" s="296" t="str">
        <f>IF(AND(AL121NBI_KA_AG&gt;=$E282,AL121NBI_KA_AG&lt;$F282),$H282,"n.v.t")</f>
        <v>n.v.t</v>
      </c>
      <c r="E282" s="416">
        <f>F281</f>
        <v>2200</v>
      </c>
      <c r="F282" s="2135">
        <v>2250</v>
      </c>
      <c r="G282" s="2136">
        <v>1415</v>
      </c>
      <c r="H282" s="2135">
        <v>88</v>
      </c>
      <c r="I282" s="2149">
        <v>660</v>
      </c>
      <c r="J282" s="2145">
        <v>2075</v>
      </c>
      <c r="M282" s="296" t="str">
        <f>IF(AND(AL121NBI_KA_AP_Z_KGB&gt;=$E282,AL121NBI_KA_AP_Z_KGB&lt;$F282),$H282,"n.v.t")</f>
        <v>n.v.t</v>
      </c>
      <c r="N282" s="296" t="str">
        <f>IF(AND(AL121NBI_KA_AG_Z_KGB&gt;=$E282,AL121NBI_KA_AG_Z_KGB&lt;$F282),$H282,"n.v.t")</f>
        <v>n.v.t</v>
      </c>
      <c r="O282" s="417">
        <v>2200</v>
      </c>
      <c r="P282" s="2500">
        <v>2250</v>
      </c>
      <c r="Q282" s="974">
        <v>1415</v>
      </c>
      <c r="R282" s="2500">
        <v>88</v>
      </c>
      <c r="S282" s="2501">
        <v>660</v>
      </c>
      <c r="AF282" s="1951"/>
    </row>
    <row r="283" spans="1:32" ht="15.75" thickBot="1" x14ac:dyDescent="0.3">
      <c r="A283" s="152">
        <v>5</v>
      </c>
      <c r="B283" s="146" t="str">
        <f>"NBI van € "&amp;E283&amp;" tot € "&amp;F283&amp;" - zie tabelbedragen"</f>
        <v>NBI van € 2250 tot € 2300 - zie tabelbedragen</v>
      </c>
      <c r="C283" s="297" t="str">
        <f>IF(AND(AL121NBI_KA_AP&gt;=$E283,AL121NBI_KA_AP&lt;$F283),$H283,"n.v.t")</f>
        <v>n.v.t</v>
      </c>
      <c r="D283" s="297" t="str">
        <f>IF(AND(AL121NBI_KA_AG&gt;=$E283,AL121NBI_KA_AG&lt;$F283),$H283,"n.v.t")</f>
        <v>n.v.t</v>
      </c>
      <c r="E283" s="2155">
        <f>F282</f>
        <v>2250</v>
      </c>
      <c r="F283" s="2156">
        <v>2300</v>
      </c>
      <c r="G283" s="2142">
        <v>1440</v>
      </c>
      <c r="H283" s="2156">
        <v>95</v>
      </c>
      <c r="I283" s="2150">
        <v>675</v>
      </c>
      <c r="J283" s="2146">
        <v>2115</v>
      </c>
      <c r="M283" s="297" t="str">
        <f>IF(AND(AL121NBI_KA_AP_Z_KGB&gt;=$E283,AL121NBI_KA_AP_Z_KGB&lt;$F283),$H283,"n.v.t")</f>
        <v>n.v.t</v>
      </c>
      <c r="N283" s="297" t="str">
        <f>IF(AND(AL121NBI_KA_AG_Z_KGB&gt;=$E283,AL121NBI_KA_AG_Z_KGB&lt;$F283),$H283,"n.v.t")</f>
        <v>n.v.t</v>
      </c>
      <c r="O283" s="2140">
        <v>2250</v>
      </c>
      <c r="P283" s="2502">
        <v>2300</v>
      </c>
      <c r="Q283" s="972">
        <v>1440</v>
      </c>
      <c r="R283" s="2502">
        <v>95</v>
      </c>
      <c r="S283" s="2503">
        <v>675</v>
      </c>
      <c r="AF283" s="1951"/>
    </row>
    <row r="284" spans="1:32" ht="15.75" thickBot="1" x14ac:dyDescent="0.3">
      <c r="A284" s="147">
        <v>6</v>
      </c>
      <c r="B284" s="1675" t="str">
        <f>"NBI vanaf € "&amp;E284&amp;": "&amp;I285*100&amp;"% van (NBI - ("&amp;J285&amp;" x NBI + "&amp;G284&amp;")"</f>
        <v>NBI vanaf € 2300: 70% van (NBI - (0,3 x NBI + 1465)</v>
      </c>
      <c r="C284" s="1497">
        <v>0</v>
      </c>
      <c r="D284" s="1497">
        <v>0</v>
      </c>
      <c r="E284" s="2157">
        <f>F283</f>
        <v>2300</v>
      </c>
      <c r="F284" s="2143">
        <v>0</v>
      </c>
      <c r="G284" s="2128">
        <v>1465</v>
      </c>
      <c r="H284" s="2158">
        <v>102</v>
      </c>
      <c r="I284" s="2188">
        <v>690</v>
      </c>
      <c r="J284" s="2189">
        <v>2155</v>
      </c>
      <c r="M284" s="1497">
        <v>0</v>
      </c>
      <c r="N284" s="1497">
        <v>0</v>
      </c>
      <c r="O284" s="603">
        <v>2300</v>
      </c>
      <c r="P284" s="2504">
        <v>0</v>
      </c>
      <c r="Q284" s="2505">
        <v>1465</v>
      </c>
      <c r="R284" s="2504">
        <v>102</v>
      </c>
      <c r="S284" s="2506">
        <v>690</v>
      </c>
      <c r="AF284" s="1951"/>
    </row>
    <row r="285" spans="1:32" ht="15.75" thickBot="1" x14ac:dyDescent="0.3">
      <c r="A285" s="151">
        <v>122</v>
      </c>
      <c r="B285" s="998" t="s">
        <v>376</v>
      </c>
      <c r="C285" s="49" t="str">
        <f>IF(BGAOWLeeftijdBereikt_AP="Nee","Zie Werk-tabel",SUM(C278:C284))</f>
        <v>Zie Werk-tabel</v>
      </c>
      <c r="D285" s="49" t="str">
        <f>IF(BGAOWLeeftijdBereikt_AG="Nee","Zie Werk-tabel",SUM(D278:D284))</f>
        <v>Zie Werk-tabel</v>
      </c>
      <c r="I285" s="2151">
        <v>0.7</v>
      </c>
      <c r="J285" s="2147">
        <v>0.3</v>
      </c>
      <c r="M285" s="30" t="str">
        <f>IF(BGAOWLeeftijdBereikt_AP="Nee","Zie Werk-tabel",SUM(M278:M284))</f>
        <v>Zie Werk-tabel</v>
      </c>
      <c r="N285" s="30" t="str">
        <f>IF(BGAOWLeeftijdBereikt_AG="Nee","Zie Werk-tabel",SUM(N278:N284))</f>
        <v>Zie Werk-tabel</v>
      </c>
      <c r="AF285" s="1951"/>
    </row>
    <row r="286" spans="1:32" ht="15.75" thickBot="1" x14ac:dyDescent="0.3">
      <c r="I286" s="2154" t="s">
        <v>77</v>
      </c>
      <c r="J286" s="2153" t="s">
        <v>230</v>
      </c>
      <c r="M286" s="2"/>
      <c r="N286" s="2"/>
      <c r="AF286" s="1951"/>
    </row>
    <row r="287" spans="1:32" ht="15.75" thickBot="1" x14ac:dyDescent="0.3">
      <c r="B287" s="393" t="s">
        <v>531</v>
      </c>
      <c r="C287" s="2"/>
      <c r="D287" s="2"/>
      <c r="M287" s="2"/>
      <c r="N287" s="2"/>
      <c r="AF287" s="1951"/>
    </row>
    <row r="288" spans="1:32" ht="15.75" thickBot="1" x14ac:dyDescent="0.3">
      <c r="A288" s="8" t="s">
        <v>223</v>
      </c>
      <c r="B288" s="93" t="s">
        <v>101</v>
      </c>
      <c r="C288" s="18" t="str">
        <f>BGPartner_AP</f>
        <v>A. Plichtig</v>
      </c>
      <c r="D288" s="60" t="str">
        <f>BGPartner_AG</f>
        <v>A. Gerechtigd</v>
      </c>
      <c r="E288" s="2755" t="s">
        <v>191</v>
      </c>
      <c r="F288" s="2756"/>
      <c r="G288" s="2756"/>
      <c r="H288" s="2756"/>
      <c r="I288" s="2756"/>
      <c r="J288" s="2705"/>
      <c r="M288" s="2"/>
      <c r="N288" s="2"/>
      <c r="AF288" s="1951"/>
    </row>
    <row r="289" spans="1:32" ht="16.5" thickBot="1" x14ac:dyDescent="0.3">
      <c r="B289" s="707" t="s">
        <v>531</v>
      </c>
      <c r="C289" s="1145">
        <f>AL94VerzInkomen_AP</f>
        <v>0</v>
      </c>
      <c r="D289" s="1145">
        <f>AL94VerzInkomen_AG</f>
        <v>0</v>
      </c>
      <c r="M289" s="2"/>
      <c r="N289" s="2"/>
      <c r="AF289" s="1951"/>
    </row>
    <row r="290" spans="1:32" ht="15.75" thickBot="1" x14ac:dyDescent="0.3">
      <c r="A290" s="2"/>
      <c r="B290" s="2"/>
      <c r="C290" s="2"/>
      <c r="D290" s="2"/>
      <c r="M290" s="2"/>
      <c r="N290" s="2"/>
      <c r="AF290" s="1951"/>
    </row>
    <row r="291" spans="1:32" ht="16.5" thickBot="1" x14ac:dyDescent="0.3">
      <c r="B291" s="608" t="s">
        <v>532</v>
      </c>
      <c r="C291" s="2"/>
      <c r="D291" s="8" t="s">
        <v>54</v>
      </c>
      <c r="M291" s="2"/>
      <c r="N291" s="2"/>
      <c r="AF291" s="1951"/>
    </row>
    <row r="292" spans="1:32" ht="15.75" thickBot="1" x14ac:dyDescent="0.3">
      <c r="B292" s="709" t="s">
        <v>251</v>
      </c>
      <c r="C292" s="50" t="str">
        <f>BGPartner_AP</f>
        <v>A. Plichtig</v>
      </c>
      <c r="D292" s="50" t="str">
        <f>BGPartner_AG</f>
        <v>A. Gerechtigd</v>
      </c>
      <c r="E292" s="1015" t="s">
        <v>55</v>
      </c>
      <c r="M292" s="2"/>
      <c r="N292" s="2"/>
      <c r="AF292" s="1951"/>
    </row>
    <row r="293" spans="1:32" ht="15" customHeight="1" x14ac:dyDescent="0.25">
      <c r="B293" s="710" t="str">
        <f>CONCATENATE("Oppaskosten kinderen in ",C20," per maand")</f>
        <v>Oppaskosten kinderen in  per maand</v>
      </c>
      <c r="C293" s="67">
        <v>0</v>
      </c>
      <c r="D293" s="67">
        <v>0</v>
      </c>
      <c r="E293" s="44">
        <f>SUM(C293:D293)</f>
        <v>0</v>
      </c>
      <c r="F293" s="2908" t="s">
        <v>1141</v>
      </c>
      <c r="G293" s="2909"/>
      <c r="H293" s="2909"/>
      <c r="I293" s="2910"/>
      <c r="J293" s="29"/>
      <c r="M293" s="2"/>
      <c r="N293" s="2"/>
      <c r="AF293" s="1951"/>
    </row>
    <row r="294" spans="1:32" ht="15.75" thickBot="1" x14ac:dyDescent="0.3">
      <c r="B294" s="711" t="str">
        <f>CONCATENATE("Het in ",C20," ontvangen KGB per maand")</f>
        <v>Het in  ontvangen KGB per maand</v>
      </c>
      <c r="C294" s="68">
        <v>0</v>
      </c>
      <c r="D294" s="68">
        <v>0</v>
      </c>
      <c r="E294" s="712">
        <f>SUM(C294:D294)</f>
        <v>0</v>
      </c>
      <c r="F294" s="2911"/>
      <c r="G294" s="2912"/>
      <c r="H294" s="2912"/>
      <c r="I294" s="2913"/>
      <c r="M294" s="2"/>
      <c r="N294" s="2"/>
      <c r="AF294" s="1951"/>
    </row>
    <row r="295" spans="1:32" ht="15.75" thickBot="1" x14ac:dyDescent="0.3">
      <c r="A295" s="2"/>
      <c r="B295" s="2551" t="s">
        <v>1139</v>
      </c>
      <c r="C295" s="1145">
        <f>KGB_BijScheiding</f>
        <v>0</v>
      </c>
      <c r="D295" s="2"/>
      <c r="M295" s="2"/>
      <c r="N295" s="2"/>
      <c r="AF295" s="1951"/>
    </row>
    <row r="296" spans="1:32" ht="15.75" thickBot="1" x14ac:dyDescent="0.3">
      <c r="B296" s="714" t="s">
        <v>930</v>
      </c>
      <c r="C296" s="713">
        <f>AL59Arbeidsinkomen_AP+AL59Arbeidsinkomen_AG+AL60Arbeidsinkomen_AP+AL60Arbeidsinkomen_AG</f>
        <v>0</v>
      </c>
      <c r="D296" s="715"/>
      <c r="E296" s="2885" t="s">
        <v>533</v>
      </c>
      <c r="F296" s="2886"/>
      <c r="G296" s="2886"/>
      <c r="H296" s="2886"/>
      <c r="I296" s="2887"/>
      <c r="M296" s="2"/>
      <c r="N296" s="2"/>
      <c r="AF296" s="1951"/>
    </row>
    <row r="297" spans="1:32" ht="15.75" thickBot="1" x14ac:dyDescent="0.3">
      <c r="AF297" s="1951"/>
    </row>
    <row r="298" spans="1:32" ht="16.5" thickBot="1" x14ac:dyDescent="0.3">
      <c r="A298" s="2"/>
      <c r="B298" s="608" t="s">
        <v>1143</v>
      </c>
      <c r="C298" s="2"/>
      <c r="D298" s="8" t="s">
        <v>54</v>
      </c>
      <c r="M298" s="2"/>
      <c r="N298" s="2"/>
      <c r="AF298" s="1951"/>
    </row>
    <row r="299" spans="1:32" ht="15.75" thickBot="1" x14ac:dyDescent="0.3">
      <c r="A299" s="2"/>
      <c r="B299" s="709" t="s">
        <v>249</v>
      </c>
      <c r="C299" s="50" t="str">
        <f>BGPartner_AP</f>
        <v>A. Plichtig</v>
      </c>
      <c r="D299" s="50" t="str">
        <f>BGPartner_AG</f>
        <v>A. Gerechtigd</v>
      </c>
      <c r="E299" s="2486" t="s">
        <v>55</v>
      </c>
      <c r="M299" s="2"/>
      <c r="N299" s="2"/>
      <c r="AF299" s="1951"/>
    </row>
    <row r="300" spans="1:32" ht="15.75" thickBot="1" x14ac:dyDescent="0.3">
      <c r="A300" s="2"/>
      <c r="B300" s="2497" t="s">
        <v>1138</v>
      </c>
      <c r="C300" s="2495">
        <f>IF(BGKGBbij119a="Nee",'KGB-Berekening'!E46,'KGB-Berekening'!I46)</f>
        <v>0</v>
      </c>
      <c r="D300" s="2495">
        <f>IF(BGKGBbij119a="Nee",'KGB-Berekening'!F46,'KGB-Berekening'!J46)</f>
        <v>0</v>
      </c>
      <c r="E300" s="2552">
        <f>C300+D300</f>
        <v>0</v>
      </c>
      <c r="F300" s="2947" t="s">
        <v>1142</v>
      </c>
      <c r="G300" s="2948"/>
      <c r="H300" s="2948"/>
      <c r="I300" s="2949"/>
      <c r="K300" s="866"/>
      <c r="AF300" s="1951"/>
    </row>
    <row r="301" spans="1:32" ht="15.75" thickBot="1" x14ac:dyDescent="0.3">
      <c r="A301" s="518" t="s">
        <v>39</v>
      </c>
      <c r="B301" s="1210" t="str">
        <f>CONCATENATE("Werkelijk in ",BGJaarBerekening," te ontvangen KGB per MAAND")</f>
        <v>Werkelijk in 2025 te ontvangen KGB per MAAND</v>
      </c>
      <c r="C301" s="2496">
        <v>0</v>
      </c>
      <c r="D301" s="2493">
        <v>0</v>
      </c>
      <c r="E301" s="2494">
        <f>SUM(C301:D301)</f>
        <v>0</v>
      </c>
      <c r="F301" s="2907" t="s">
        <v>1140</v>
      </c>
      <c r="G301" s="2877"/>
      <c r="H301" s="2877"/>
      <c r="I301" s="2877"/>
      <c r="AF301" s="1951"/>
    </row>
    <row r="302" spans="1:32" ht="15.75" thickBot="1" x14ac:dyDescent="0.3">
      <c r="B302" s="2492" t="s">
        <v>795</v>
      </c>
      <c r="C302" s="2399">
        <f>Q79</f>
        <v>0</v>
      </c>
      <c r="D302" s="2399">
        <f>R79</f>
        <v>0</v>
      </c>
      <c r="E302" s="2937" t="s">
        <v>533</v>
      </c>
      <c r="F302" s="2938"/>
      <c r="G302" s="2938"/>
      <c r="H302" s="2938"/>
      <c r="I302" s="2939"/>
      <c r="AF302" s="1951"/>
    </row>
    <row r="303" spans="1:32" ht="15.75" thickBot="1" x14ac:dyDescent="0.3">
      <c r="B303" s="613" t="s">
        <v>841</v>
      </c>
      <c r="C303" s="1208" t="s">
        <v>106</v>
      </c>
      <c r="D303" s="2876" t="str">
        <f>"Betreft het KGB dat NA de scheiding wordt ontvangen! Bij Ja stijgt de draagkracht van "&amp;BGPartner_AG&amp;"."</f>
        <v>Betreft het KGB dat NA de scheiding wordt ontvangen! Bij Ja stijgt de draagkracht van A. Gerechtigd.</v>
      </c>
      <c r="E303" s="2877"/>
      <c r="F303" s="2877"/>
      <c r="G303" s="2877"/>
      <c r="H303" s="2877"/>
      <c r="I303" s="2878"/>
      <c r="AF303" s="1951"/>
    </row>
    <row r="304" spans="1:32" ht="15.75" thickBot="1" x14ac:dyDescent="0.3">
      <c r="B304" s="1210" t="str">
        <f>"Een NBI tbv KA  &gt; € "&amp;Kinderalimentatie!V17&amp;", toch maximaliseren op "&amp;Kinderalimentatie!V17&amp;" ?"</f>
        <v>Een NBI tbv KA  &gt; € 7500, toch maximaliseren op 7500 ?</v>
      </c>
      <c r="C304" s="1209" t="s">
        <v>106</v>
      </c>
      <c r="D304" s="2713" t="str">
        <f>"De tabellen voor de KA kennen een schaal vanaf € "&amp;Kinderalimentatie!K17&amp;" tot en met € "&amp;Kinderalimentatie!V17&amp;", deze wordt normaal aangehouden"</f>
        <v>De tabellen voor de KA kennen een schaal vanaf € 2000 tot en met € 7500, deze wordt normaal aangehouden</v>
      </c>
      <c r="E304" s="2713"/>
      <c r="F304" s="2713"/>
      <c r="G304" s="2713"/>
      <c r="H304" s="2713"/>
      <c r="I304" s="2714"/>
      <c r="AF304" s="1951"/>
    </row>
    <row r="305" spans="1:32" ht="15.75" thickBot="1" x14ac:dyDescent="0.3">
      <c r="B305" s="2"/>
      <c r="C305" s="2"/>
      <c r="D305" s="921"/>
      <c r="H305" s="142"/>
      <c r="I305" s="142"/>
      <c r="AF305" s="1951"/>
    </row>
    <row r="306" spans="1:32" ht="16.149999999999999" customHeight="1" thickBot="1" x14ac:dyDescent="0.3">
      <c r="B306" s="2892" t="s">
        <v>944</v>
      </c>
      <c r="C306" s="2893"/>
      <c r="D306" s="2733"/>
      <c r="E306" s="2602" t="s">
        <v>106</v>
      </c>
      <c r="F306" s="2" t="s">
        <v>943</v>
      </c>
      <c r="H306" s="2686" t="s">
        <v>587</v>
      </c>
      <c r="I306" s="2903"/>
      <c r="J306" s="2687"/>
      <c r="AF306" s="1951"/>
    </row>
    <row r="307" spans="1:32" ht="15.75" customHeight="1" thickBot="1" x14ac:dyDescent="0.3">
      <c r="E307" s="8" t="s">
        <v>1160</v>
      </c>
      <c r="H307" s="2717" t="s">
        <v>594</v>
      </c>
      <c r="I307" s="2690" t="s">
        <v>1062</v>
      </c>
      <c r="J307" s="2901" t="s">
        <v>942</v>
      </c>
      <c r="L307" s="2898" t="s">
        <v>596</v>
      </c>
      <c r="M307" s="2898"/>
      <c r="N307" s="2898"/>
      <c r="O307" s="2"/>
      <c r="P307" s="2"/>
      <c r="R307" s="2"/>
      <c r="AF307" s="1951"/>
    </row>
    <row r="308" spans="1:32" ht="15.75" thickBot="1" x14ac:dyDescent="0.3">
      <c r="B308" s="92" t="s">
        <v>413</v>
      </c>
      <c r="C308" s="2896" t="s">
        <v>590</v>
      </c>
      <c r="D308" s="2906"/>
      <c r="E308" s="2601">
        <f>C16</f>
        <v>45658</v>
      </c>
      <c r="F308" s="2690" t="s">
        <v>250</v>
      </c>
      <c r="G308" s="112"/>
      <c r="H308" s="2904"/>
      <c r="I308" s="2859"/>
      <c r="J308" s="2905"/>
      <c r="L308" s="14"/>
      <c r="M308" s="92"/>
      <c r="N308" s="2896" t="s">
        <v>595</v>
      </c>
      <c r="O308" s="2897"/>
      <c r="P308" s="2"/>
      <c r="R308" s="2"/>
      <c r="AF308" s="1951"/>
    </row>
    <row r="309" spans="1:32" ht="15.75" thickBot="1" x14ac:dyDescent="0.3">
      <c r="A309" s="8" t="s">
        <v>258</v>
      </c>
      <c r="B309" s="868" t="s">
        <v>542</v>
      </c>
      <c r="C309" s="881" t="str">
        <f>BGPartner_AP</f>
        <v>A. Plichtig</v>
      </c>
      <c r="D309" s="50" t="str">
        <f>BGPartner_AG</f>
        <v>A. Gerechtigd</v>
      </c>
      <c r="E309" s="291" t="s">
        <v>246</v>
      </c>
      <c r="F309" s="2689"/>
      <c r="G309" s="34" t="s">
        <v>244</v>
      </c>
      <c r="H309" s="2718"/>
      <c r="I309" s="2689"/>
      <c r="J309" s="2902"/>
      <c r="L309" s="134" t="s">
        <v>223</v>
      </c>
      <c r="M309" s="103" t="s">
        <v>87</v>
      </c>
      <c r="N309" s="18" t="str">
        <f>BGPartner_AP</f>
        <v>A. Plichtig</v>
      </c>
      <c r="O309" s="18" t="str">
        <f>BGPartner_AG</f>
        <v>A. Gerechtigd</v>
      </c>
      <c r="P309" s="121" t="s">
        <v>55</v>
      </c>
      <c r="Q309" s="2690" t="s">
        <v>772</v>
      </c>
      <c r="R309" s="2"/>
      <c r="AF309" s="1951"/>
    </row>
    <row r="310" spans="1:32" x14ac:dyDescent="0.25">
      <c r="A310" s="24">
        <v>1</v>
      </c>
      <c r="B310" s="1140" t="s">
        <v>1085</v>
      </c>
      <c r="C310" s="870">
        <v>0</v>
      </c>
      <c r="D310" s="870">
        <v>0</v>
      </c>
      <c r="E310" s="1466"/>
      <c r="F310" s="987">
        <v>0</v>
      </c>
      <c r="G310" s="990">
        <v>0.15</v>
      </c>
      <c r="H310" s="2033">
        <v>0</v>
      </c>
      <c r="I310" s="2034">
        <v>0</v>
      </c>
      <c r="J310" s="2035">
        <v>0</v>
      </c>
      <c r="L310" s="24">
        <v>1</v>
      </c>
      <c r="M310" s="588" t="s">
        <v>755</v>
      </c>
      <c r="N310" s="412">
        <f>COUNTIFS(C$327:C$338,M310)</f>
        <v>0</v>
      </c>
      <c r="O310" s="412">
        <f>COUNTIFS(D$327:D$338,M310)</f>
        <v>0</v>
      </c>
      <c r="P310" s="12">
        <f t="shared" ref="P310" si="56">SUM(N310:O310)</f>
        <v>0</v>
      </c>
      <c r="Q310" s="2859"/>
      <c r="R310" s="2"/>
      <c r="AF310" s="1951"/>
    </row>
    <row r="311" spans="1:32" ht="15.75" customHeight="1" x14ac:dyDescent="0.25">
      <c r="A311" s="58">
        <v>2</v>
      </c>
      <c r="B311" s="1141" t="s">
        <v>1085</v>
      </c>
      <c r="C311" s="213">
        <v>0</v>
      </c>
      <c r="D311" s="213">
        <v>0</v>
      </c>
      <c r="E311" s="1467"/>
      <c r="F311" s="988">
        <v>0</v>
      </c>
      <c r="G311" s="991">
        <v>0.15</v>
      </c>
      <c r="H311" s="2036">
        <v>0</v>
      </c>
      <c r="I311" s="2034">
        <v>0</v>
      </c>
      <c r="J311" s="2037">
        <v>0</v>
      </c>
      <c r="L311" s="58">
        <v>2</v>
      </c>
      <c r="M311" s="589" t="s">
        <v>778</v>
      </c>
      <c r="N311" s="413">
        <f>COUNTIFS(C$327:C$338,M311)</f>
        <v>0</v>
      </c>
      <c r="O311" s="413">
        <f>COUNTIFS(D$327:D$338,M311)</f>
        <v>0</v>
      </c>
      <c r="P311" s="13">
        <f>SUM(N311:O311)</f>
        <v>0</v>
      </c>
      <c r="Q311" s="2859"/>
      <c r="AF311" s="1951"/>
    </row>
    <row r="312" spans="1:32" x14ac:dyDescent="0.25">
      <c r="A312" s="58">
        <v>3</v>
      </c>
      <c r="B312" s="1141" t="s">
        <v>1085</v>
      </c>
      <c r="C312" s="213">
        <v>0</v>
      </c>
      <c r="D312" s="213">
        <v>0</v>
      </c>
      <c r="E312" s="1467"/>
      <c r="F312" s="988">
        <v>0</v>
      </c>
      <c r="G312" s="991">
        <v>0.15</v>
      </c>
      <c r="H312" s="2036">
        <v>0</v>
      </c>
      <c r="I312" s="2038">
        <v>0</v>
      </c>
      <c r="J312" s="2037">
        <v>0</v>
      </c>
      <c r="L312" s="58">
        <v>3</v>
      </c>
      <c r="M312" s="589" t="s">
        <v>574</v>
      </c>
      <c r="N312" s="413">
        <f>COUNTIFS(C$327:C$338,M312)</f>
        <v>0</v>
      </c>
      <c r="O312" s="413">
        <f>COUNTIFS(D$327:D$338,M312)</f>
        <v>0</v>
      </c>
      <c r="P312" s="13">
        <f>SUM(N312:O312)</f>
        <v>0</v>
      </c>
      <c r="Q312" s="2859"/>
      <c r="AF312" s="1951"/>
    </row>
    <row r="313" spans="1:32" ht="15" customHeight="1" thickBot="1" x14ac:dyDescent="0.3">
      <c r="A313" s="58">
        <v>4</v>
      </c>
      <c r="B313" s="1142" t="s">
        <v>1085</v>
      </c>
      <c r="C313" s="212">
        <v>0</v>
      </c>
      <c r="D313" s="212">
        <v>0</v>
      </c>
      <c r="E313" s="1467"/>
      <c r="F313" s="988">
        <v>0</v>
      </c>
      <c r="G313" s="991">
        <v>0.15</v>
      </c>
      <c r="H313" s="2036">
        <v>0</v>
      </c>
      <c r="I313" s="2038">
        <v>0</v>
      </c>
      <c r="J313" s="2037">
        <v>0</v>
      </c>
      <c r="L313" s="152">
        <v>4</v>
      </c>
      <c r="M313" s="883" t="s">
        <v>776</v>
      </c>
      <c r="N313" s="880">
        <f>COUNTIFS(C$327:C$338,M313)</f>
        <v>0</v>
      </c>
      <c r="O313" s="880">
        <f>COUNTIFS(D$327:D$338,M313)</f>
        <v>0</v>
      </c>
      <c r="P313" s="882">
        <f>SUM(N313:O313)</f>
        <v>0</v>
      </c>
      <c r="Q313" s="2689"/>
      <c r="AF313" s="1951"/>
    </row>
    <row r="314" spans="1:32" ht="15" customHeight="1" thickBot="1" x14ac:dyDescent="0.3">
      <c r="A314" s="58">
        <v>5</v>
      </c>
      <c r="B314" s="1141" t="s">
        <v>1085</v>
      </c>
      <c r="C314" s="213">
        <v>0</v>
      </c>
      <c r="D314" s="213">
        <v>0</v>
      </c>
      <c r="E314" s="1467"/>
      <c r="F314" s="988">
        <v>0</v>
      </c>
      <c r="G314" s="991">
        <v>0.15</v>
      </c>
      <c r="H314" s="2036">
        <v>0</v>
      </c>
      <c r="I314" s="2038">
        <v>0</v>
      </c>
      <c r="J314" s="2037">
        <v>0</v>
      </c>
      <c r="L314" s="2894" t="s">
        <v>1063</v>
      </c>
      <c r="M314" s="2895"/>
      <c r="N314" s="877">
        <f>SUM(N310:N313)</f>
        <v>0</v>
      </c>
      <c r="O314" s="2246">
        <f>SUM(O310:O313)</f>
        <v>0</v>
      </c>
      <c r="P314" s="877">
        <f>SUM(P310:P313)</f>
        <v>0</v>
      </c>
      <c r="Q314" s="877">
        <f>IF(P314&gt;4,4,P314)</f>
        <v>0</v>
      </c>
      <c r="AF314" s="1951"/>
    </row>
    <row r="315" spans="1:32" ht="15.75" customHeight="1" thickBot="1" x14ac:dyDescent="0.3">
      <c r="A315" s="58">
        <v>6</v>
      </c>
      <c r="B315" s="1141" t="s">
        <v>1085</v>
      </c>
      <c r="C315" s="213">
        <v>0</v>
      </c>
      <c r="D315" s="213">
        <v>0</v>
      </c>
      <c r="E315" s="1467"/>
      <c r="F315" s="988">
        <v>0</v>
      </c>
      <c r="G315" s="991">
        <v>0.15</v>
      </c>
      <c r="H315" s="2036">
        <v>0</v>
      </c>
      <c r="I315" s="2038">
        <v>0</v>
      </c>
      <c r="J315" s="2037">
        <v>0</v>
      </c>
      <c r="L315" s="24">
        <v>5</v>
      </c>
      <c r="M315" s="2238" t="s">
        <v>567</v>
      </c>
      <c r="N315" s="1383">
        <f>COUNTIFS(C$327:C$338,M315)</f>
        <v>0</v>
      </c>
      <c r="O315" s="2240">
        <f>COUNTIFS(D$327:D$338,M315)</f>
        <v>0</v>
      </c>
      <c r="P315" s="1384">
        <f>SUM(N315:O315)</f>
        <v>0</v>
      </c>
      <c r="Q315" s="2242" t="s">
        <v>774</v>
      </c>
      <c r="R315" s="718"/>
      <c r="AF315" s="1951"/>
    </row>
    <row r="316" spans="1:32" x14ac:dyDescent="0.25">
      <c r="A316" s="58">
        <v>7</v>
      </c>
      <c r="B316" s="1141" t="s">
        <v>1085</v>
      </c>
      <c r="C316" s="213">
        <v>0</v>
      </c>
      <c r="D316" s="213">
        <v>0</v>
      </c>
      <c r="E316" s="1467"/>
      <c r="F316" s="988">
        <v>0</v>
      </c>
      <c r="G316" s="991">
        <v>0.15</v>
      </c>
      <c r="H316" s="2036">
        <v>0</v>
      </c>
      <c r="I316" s="2038">
        <v>0</v>
      </c>
      <c r="J316" s="2037">
        <v>0</v>
      </c>
      <c r="L316" s="58">
        <v>6</v>
      </c>
      <c r="M316" s="2245" t="s">
        <v>564</v>
      </c>
      <c r="N316" s="2249"/>
      <c r="O316" s="2247"/>
      <c r="P316" s="2250">
        <f>COUNTIFS($F$327:$F$338,$M316)</f>
        <v>0</v>
      </c>
      <c r="AF316" s="1951"/>
    </row>
    <row r="317" spans="1:32" ht="15" customHeight="1" x14ac:dyDescent="0.25">
      <c r="A317" s="58">
        <v>8</v>
      </c>
      <c r="B317" s="1141" t="s">
        <v>1085</v>
      </c>
      <c r="C317" s="213">
        <v>0</v>
      </c>
      <c r="D317" s="213">
        <v>0</v>
      </c>
      <c r="E317" s="1467"/>
      <c r="F317" s="988">
        <v>0</v>
      </c>
      <c r="G317" s="991">
        <v>0.15</v>
      </c>
      <c r="H317" s="2036">
        <v>0</v>
      </c>
      <c r="I317" s="2038">
        <v>0</v>
      </c>
      <c r="J317" s="2037">
        <v>0</v>
      </c>
      <c r="L317" s="58">
        <v>7</v>
      </c>
      <c r="M317" s="2245" t="s">
        <v>1011</v>
      </c>
      <c r="N317" s="2249"/>
      <c r="O317" s="2247"/>
      <c r="P317" s="2250">
        <f>COUNTIFS($F$327:$F$338,$M317)</f>
        <v>0</v>
      </c>
      <c r="Q317" s="2"/>
      <c r="R317" s="2"/>
      <c r="AF317" s="1951"/>
    </row>
    <row r="318" spans="1:32" ht="15" customHeight="1" thickBot="1" x14ac:dyDescent="0.3">
      <c r="A318" s="58">
        <v>9</v>
      </c>
      <c r="B318" s="2348" t="s">
        <v>1085</v>
      </c>
      <c r="C318" s="213">
        <v>0</v>
      </c>
      <c r="D318" s="213">
        <v>0</v>
      </c>
      <c r="E318" s="1467"/>
      <c r="F318" s="988">
        <v>0</v>
      </c>
      <c r="G318" s="991">
        <v>0.15</v>
      </c>
      <c r="H318" s="2036">
        <v>0</v>
      </c>
      <c r="I318" s="2038">
        <v>0</v>
      </c>
      <c r="J318" s="2037">
        <v>0</v>
      </c>
      <c r="L318" s="26">
        <v>8</v>
      </c>
      <c r="M318" s="2239" t="s">
        <v>777</v>
      </c>
      <c r="N318" s="1385">
        <f>COUNTIFS(C$327:C$338,M318)</f>
        <v>0</v>
      </c>
      <c r="O318" s="2241">
        <f>COUNTIFS(D$327:D$338,M318)</f>
        <v>0</v>
      </c>
      <c r="P318" s="2243">
        <f>SUM(N318:O318)</f>
        <v>0</v>
      </c>
      <c r="Q318" s="2"/>
      <c r="R318" s="2"/>
      <c r="AF318" s="1951"/>
    </row>
    <row r="319" spans="1:32" ht="15" customHeight="1" thickBot="1" x14ac:dyDescent="0.3">
      <c r="A319" s="58">
        <v>10</v>
      </c>
      <c r="B319" s="2348" t="s">
        <v>1085</v>
      </c>
      <c r="C319" s="213">
        <v>0</v>
      </c>
      <c r="D319" s="213">
        <v>0</v>
      </c>
      <c r="E319" s="1467"/>
      <c r="F319" s="988">
        <v>0</v>
      </c>
      <c r="G319" s="991">
        <v>0.15</v>
      </c>
      <c r="H319" s="2036">
        <v>0</v>
      </c>
      <c r="I319" s="2038">
        <v>0</v>
      </c>
      <c r="J319" s="2037">
        <v>0</v>
      </c>
      <c r="L319" s="2700" t="s">
        <v>756</v>
      </c>
      <c r="M319" s="2889"/>
      <c r="N319" s="2244">
        <f>SUM(N315:N318)</f>
        <v>0</v>
      </c>
      <c r="O319" s="2248">
        <f>SUM(O315:O318)</f>
        <v>0</v>
      </c>
      <c r="P319" s="2244">
        <f>SUM(P314:P318)</f>
        <v>0</v>
      </c>
      <c r="AF319" s="1951"/>
    </row>
    <row r="320" spans="1:32" ht="15.75" customHeight="1" x14ac:dyDescent="0.25">
      <c r="A320" s="58">
        <v>11</v>
      </c>
      <c r="B320" s="2348" t="s">
        <v>1085</v>
      </c>
      <c r="C320" s="213">
        <v>0</v>
      </c>
      <c r="D320" s="213">
        <v>0</v>
      </c>
      <c r="E320" s="1467"/>
      <c r="F320" s="988">
        <v>0</v>
      </c>
      <c r="G320" s="991">
        <v>0.15</v>
      </c>
      <c r="H320" s="2036">
        <v>0</v>
      </c>
      <c r="I320" s="2038">
        <v>0</v>
      </c>
      <c r="J320" s="2037">
        <v>0</v>
      </c>
      <c r="Q320" s="2"/>
      <c r="R320" s="2"/>
      <c r="AF320" s="1951"/>
    </row>
    <row r="321" spans="1:32" ht="15.75" thickBot="1" x14ac:dyDescent="0.3">
      <c r="A321" s="26">
        <v>12</v>
      </c>
      <c r="B321" s="2349" t="s">
        <v>1085</v>
      </c>
      <c r="C321" s="214">
        <v>0</v>
      </c>
      <c r="D321" s="214">
        <v>0</v>
      </c>
      <c r="E321" s="1468"/>
      <c r="F321" s="989">
        <v>0</v>
      </c>
      <c r="G321" s="992">
        <v>0.15</v>
      </c>
      <c r="H321" s="2039">
        <v>0</v>
      </c>
      <c r="I321" s="2040">
        <v>0</v>
      </c>
      <c r="J321" s="2041">
        <v>0</v>
      </c>
      <c r="Q321" s="2"/>
      <c r="R321" s="2"/>
      <c r="AF321" s="1951"/>
    </row>
    <row r="322" spans="1:32" ht="15.75" thickBot="1" x14ac:dyDescent="0.3">
      <c r="B322" s="869" t="s">
        <v>116</v>
      </c>
      <c r="C322" s="111">
        <f>SUM(C310:C321)</f>
        <v>0</v>
      </c>
      <c r="D322" s="110">
        <f>SUM(D310:D321)</f>
        <v>0</v>
      </c>
      <c r="E322" s="2616" t="s">
        <v>1161</v>
      </c>
      <c r="F322" s="327">
        <f>SUM(F310:F321)</f>
        <v>0</v>
      </c>
      <c r="Q322" s="2"/>
      <c r="R322" s="2"/>
      <c r="AF322" s="1951"/>
    </row>
    <row r="323" spans="1:32" ht="15.75" thickBot="1" x14ac:dyDescent="0.3">
      <c r="A323" s="866"/>
      <c r="B323" s="534"/>
      <c r="C323" s="867"/>
      <c r="D323" s="867"/>
      <c r="E323" s="866"/>
      <c r="F323" s="866"/>
      <c r="G323" s="866"/>
      <c r="H323" s="866"/>
      <c r="I323" s="866"/>
      <c r="J323" s="866"/>
      <c r="Q323" s="2"/>
      <c r="R323" s="2"/>
      <c r="AF323" s="1951"/>
    </row>
    <row r="324" spans="1:32" ht="15.75" thickBot="1" x14ac:dyDescent="0.3">
      <c r="G324" s="2686" t="s">
        <v>586</v>
      </c>
      <c r="H324" s="2903"/>
      <c r="I324" s="2903"/>
      <c r="J324" s="2687"/>
      <c r="M324" s="1688" t="s">
        <v>1061</v>
      </c>
      <c r="N324" s="948"/>
      <c r="O324" s="948"/>
      <c r="Q324" s="2"/>
      <c r="R324" s="2"/>
      <c r="AF324" s="1951"/>
    </row>
    <row r="325" spans="1:32" ht="15.75" thickBot="1" x14ac:dyDescent="0.3">
      <c r="B325" s="92" t="s">
        <v>575</v>
      </c>
      <c r="C325" s="2704" t="s">
        <v>588</v>
      </c>
      <c r="D325" s="2801"/>
      <c r="E325" s="23" t="s">
        <v>576</v>
      </c>
      <c r="F325" s="39" t="s">
        <v>1009</v>
      </c>
      <c r="G325" s="2901" t="s">
        <v>579</v>
      </c>
      <c r="H325" s="2690" t="s">
        <v>696</v>
      </c>
      <c r="I325" s="2690" t="s">
        <v>578</v>
      </c>
      <c r="J325" s="2717" t="s">
        <v>584</v>
      </c>
      <c r="K325" s="2690" t="s">
        <v>1029</v>
      </c>
      <c r="M325" s="864" t="s">
        <v>101</v>
      </c>
      <c r="N325" s="2152" t="s">
        <v>570</v>
      </c>
      <c r="O325" s="2154" t="s">
        <v>571</v>
      </c>
      <c r="Q325" s="2"/>
      <c r="R325" s="2"/>
      <c r="AF325" s="1951"/>
    </row>
    <row r="326" spans="1:32" ht="15.75" thickBot="1" x14ac:dyDescent="0.3">
      <c r="A326" s="1014" t="s">
        <v>258</v>
      </c>
      <c r="B326" s="2196" t="s">
        <v>542</v>
      </c>
      <c r="C326" s="50" t="str">
        <f>BGPartner_AP</f>
        <v>A. Plichtig</v>
      </c>
      <c r="D326" s="881" t="str">
        <f>BGPartner_AG</f>
        <v>A. Gerechtigd</v>
      </c>
      <c r="E326" s="2165">
        <f>$C$16</f>
        <v>45658</v>
      </c>
      <c r="F326" s="2167" t="s">
        <v>566</v>
      </c>
      <c r="G326" s="2902"/>
      <c r="H326" s="2689"/>
      <c r="I326" s="2689"/>
      <c r="J326" s="2718"/>
      <c r="K326" s="2689"/>
      <c r="M326" s="1011" t="s">
        <v>568</v>
      </c>
      <c r="N326" s="2138">
        <v>103.78</v>
      </c>
      <c r="O326" s="2235">
        <v>338.68</v>
      </c>
      <c r="Q326" s="2"/>
      <c r="R326" s="2"/>
      <c r="AF326" s="1951"/>
    </row>
    <row r="327" spans="1:32" x14ac:dyDescent="0.25">
      <c r="A327" s="569">
        <v>1</v>
      </c>
      <c r="B327" s="887" t="str">
        <f t="shared" ref="B327:B338" si="57">IF(TRIM(B310)="","--",B310)</f>
        <v>--</v>
      </c>
      <c r="C327" s="2022" t="str">
        <f t="shared" ref="C327:D338" si="58">IF(C310=0,"--",IF(AND(($C310+$D310)&gt;0,AND($E327&gt;=12,$E327&lt;=17,LEFT($F327,3)="MBO")),"12 t/m 17 (MBO)",IF(AND(($C310+$D310)&gt;0,AND($E327&gt;=0,$E327&lt;=17,$F327="Behoeftetabel")),"0 t/m 17 (Tabel)",IF(AND(($C310+$D310)&gt;0,AND($E327&gt;=16,$E327&lt;=21,$F327="Zelfvoorzienend")),"Zelfvoorzienend",IF(AND(($C310+$D310)&gt;0,AND($E327&gt;=18,$E327&lt;21,$F327="Behoeftetabel")),"18 tot 21 (tabel)",IF(AND(($C310+$D310)&gt;0,AND($E327&gt;=18,$E327&lt;21,OR(LEFT($F327,3)="MBO",LEFT($F327,6)="HBO/WO"))),"18 tot 21 (Student)",IF(AND(($C310+$D310)&gt;0,$E327&gt;=21,$E327&lt;50),"21 of ouder","???")))))))</f>
        <v>--</v>
      </c>
      <c r="D327" s="888" t="str">
        <f t="shared" si="58"/>
        <v>--</v>
      </c>
      <c r="E327" s="897" t="str">
        <f t="shared" ref="E327:E338" si="59">IF(OR(TRIM($B310)="",TRIM($E310)=""),"--",YEAR(C$16-($E310-1))-1900)</f>
        <v>--</v>
      </c>
      <c r="F327" s="2166" t="s">
        <v>563</v>
      </c>
      <c r="G327" s="891">
        <v>0</v>
      </c>
      <c r="H327" s="894" t="s">
        <v>106</v>
      </c>
      <c r="I327" s="1402" t="str">
        <f t="shared" ref="I327:I338" si="60">IF($I$339-(DATE(YEAR($E310)+18,MONTH($E310),DAY($E310)))&lt;0,"Nee","Ja")</f>
        <v>Ja</v>
      </c>
      <c r="J327" s="822" t="str">
        <f t="shared" ref="J327:J338" si="61">IF(AND($F327="MBO Thuisw.",$I327="Nee"),$N$329-($N$330/12)-SUM($H310:$J310),IF($F327="MBO Thuisw.",$N$329-SUM($H310:$J310),IF(AND($F327="MBO Uitwonend",$I327="Nee"),$O$329-($N$330/12)-SUM($H310:$J310),IF($F327="MBO Uitwonend",$O$329-SUM($H310:$J310),IF(AND($F327="HBO/WO Thuisw.",$H327="Ja"),$N$338-($N$339/12)-SUM($H310:$J310),IF(AND($F327="HBO/WO Uitwonend",$H327="Ja"),$O$338-($N$339/12)-SUM($H310:$J310),IF($F327="HBO/WO Thuisw.",$N$338-SUM($H310:$J310),IF($F327="HBO/WO Uitwonend",$O$338-SUM($H310:$J310),IF($F327="MBO Berekend",$G327-SUM($H310:$J310),IF($F327="HBO/WO Berekend",$G327-$H310-$J310,IF($F327="Zelfvoorzienend","n.v.t","--")))))))))))</f>
        <v>--</v>
      </c>
      <c r="K327" s="898" t="str">
        <f t="shared" ref="K327:K338" si="62">IF(OR(TRIM($B310)="",TRIM($E310)=""),"--",YEAR(DATEVALUE("01-01-"&amp;BGJaarBerekening)-($E310-1))-1900)</f>
        <v>--</v>
      </c>
      <c r="M327" s="1008" t="s">
        <v>569</v>
      </c>
      <c r="N327" s="2139">
        <v>424.57</v>
      </c>
      <c r="O327" s="2236">
        <v>451.97</v>
      </c>
      <c r="Q327" s="2"/>
      <c r="R327" s="2"/>
      <c r="AF327" s="1951"/>
    </row>
    <row r="328" spans="1:32" ht="15.75" thickBot="1" x14ac:dyDescent="0.3">
      <c r="A328" s="254">
        <v>2</v>
      </c>
      <c r="B328" s="874" t="str">
        <f t="shared" si="57"/>
        <v>--</v>
      </c>
      <c r="C328" s="878" t="str">
        <f t="shared" si="58"/>
        <v>--</v>
      </c>
      <c r="D328" s="590" t="str">
        <f t="shared" si="58"/>
        <v>--</v>
      </c>
      <c r="E328" s="898" t="str">
        <f t="shared" si="59"/>
        <v>--</v>
      </c>
      <c r="F328" s="889" t="s">
        <v>563</v>
      </c>
      <c r="G328" s="892">
        <v>0</v>
      </c>
      <c r="H328" s="631" t="s">
        <v>106</v>
      </c>
      <c r="I328" s="1403" t="str">
        <f t="shared" si="60"/>
        <v>Ja</v>
      </c>
      <c r="J328" s="824" t="str">
        <f t="shared" si="61"/>
        <v>--</v>
      </c>
      <c r="K328" s="898" t="str">
        <f t="shared" si="62"/>
        <v>--</v>
      </c>
      <c r="M328" s="1009" t="s">
        <v>521</v>
      </c>
      <c r="N328" s="2232">
        <v>226.08</v>
      </c>
      <c r="O328" s="2237">
        <v>226.08</v>
      </c>
      <c r="Q328" s="2"/>
      <c r="R328" s="2"/>
      <c r="AF328" s="1951"/>
    </row>
    <row r="329" spans="1:32" ht="15.75" thickBot="1" x14ac:dyDescent="0.3">
      <c r="A329" s="254">
        <v>3</v>
      </c>
      <c r="B329" s="874" t="str">
        <f t="shared" si="57"/>
        <v>--</v>
      </c>
      <c r="C329" s="878" t="str">
        <f t="shared" si="58"/>
        <v>--</v>
      </c>
      <c r="D329" s="590" t="str">
        <f t="shared" si="58"/>
        <v>--</v>
      </c>
      <c r="E329" s="898" t="str">
        <f t="shared" si="59"/>
        <v>--</v>
      </c>
      <c r="F329" s="889" t="s">
        <v>563</v>
      </c>
      <c r="G329" s="892">
        <v>0</v>
      </c>
      <c r="H329" s="631" t="s">
        <v>106</v>
      </c>
      <c r="I329" s="1403" t="str">
        <f t="shared" si="60"/>
        <v>Ja</v>
      </c>
      <c r="J329" s="824" t="str">
        <f t="shared" si="61"/>
        <v>--</v>
      </c>
      <c r="K329" s="898" t="str">
        <f t="shared" si="62"/>
        <v>--</v>
      </c>
      <c r="M329" s="865" t="s">
        <v>548</v>
      </c>
      <c r="N329" s="2233">
        <f>SUM(N326:N328)</f>
        <v>754.43000000000006</v>
      </c>
      <c r="O329" s="2234">
        <f>SUM(O326:O328)</f>
        <v>1016.7300000000001</v>
      </c>
      <c r="Q329" s="2"/>
      <c r="R329" s="2"/>
      <c r="AF329" s="1951"/>
    </row>
    <row r="330" spans="1:32" ht="15.75" thickBot="1" x14ac:dyDescent="0.3">
      <c r="A330" s="254">
        <v>4</v>
      </c>
      <c r="B330" s="874" t="str">
        <f t="shared" si="57"/>
        <v>--</v>
      </c>
      <c r="C330" s="878" t="str">
        <f t="shared" si="58"/>
        <v>--</v>
      </c>
      <c r="D330" s="590" t="str">
        <f t="shared" si="58"/>
        <v>--</v>
      </c>
      <c r="E330" s="898" t="str">
        <f t="shared" si="59"/>
        <v>--</v>
      </c>
      <c r="F330" s="889" t="s">
        <v>563</v>
      </c>
      <c r="G330" s="892">
        <v>0</v>
      </c>
      <c r="H330" s="631" t="s">
        <v>106</v>
      </c>
      <c r="I330" s="1403" t="str">
        <f t="shared" si="60"/>
        <v>Ja</v>
      </c>
      <c r="J330" s="824" t="str">
        <f t="shared" si="61"/>
        <v>--</v>
      </c>
      <c r="K330" s="898" t="str">
        <f t="shared" si="62"/>
        <v>--</v>
      </c>
      <c r="M330" s="1010" t="s">
        <v>1024</v>
      </c>
      <c r="N330" s="951">
        <f>118.25*12</f>
        <v>1419</v>
      </c>
      <c r="O330" s="948"/>
      <c r="Q330" s="2"/>
      <c r="R330" s="2"/>
      <c r="AF330" s="1951"/>
    </row>
    <row r="331" spans="1:32" x14ac:dyDescent="0.25">
      <c r="A331" s="254">
        <v>5</v>
      </c>
      <c r="B331" s="874" t="str">
        <f t="shared" si="57"/>
        <v>--</v>
      </c>
      <c r="C331" s="878" t="str">
        <f t="shared" si="58"/>
        <v>--</v>
      </c>
      <c r="D331" s="590" t="str">
        <f t="shared" si="58"/>
        <v>--</v>
      </c>
      <c r="E331" s="898" t="str">
        <f t="shared" si="59"/>
        <v>--</v>
      </c>
      <c r="F331" s="889" t="s">
        <v>563</v>
      </c>
      <c r="G331" s="892">
        <v>0</v>
      </c>
      <c r="H331" s="631" t="s">
        <v>106</v>
      </c>
      <c r="I331" s="1403" t="str">
        <f t="shared" si="60"/>
        <v>Ja</v>
      </c>
      <c r="J331" s="824" t="str">
        <f t="shared" si="61"/>
        <v>--</v>
      </c>
      <c r="K331" s="898" t="str">
        <f t="shared" si="62"/>
        <v>--</v>
      </c>
      <c r="M331" s="866"/>
      <c r="N331" s="948"/>
      <c r="O331" s="948"/>
      <c r="Q331" s="2"/>
      <c r="R331" s="2"/>
      <c r="AF331" s="1951"/>
    </row>
    <row r="332" spans="1:32" ht="15.75" thickBot="1" x14ac:dyDescent="0.3">
      <c r="A332" s="254">
        <v>6</v>
      </c>
      <c r="B332" s="874" t="str">
        <f t="shared" si="57"/>
        <v>--</v>
      </c>
      <c r="C332" s="878" t="str">
        <f t="shared" si="58"/>
        <v>--</v>
      </c>
      <c r="D332" s="590" t="str">
        <f t="shared" si="58"/>
        <v>--</v>
      </c>
      <c r="E332" s="898" t="str">
        <f t="shared" si="59"/>
        <v>--</v>
      </c>
      <c r="F332" s="889" t="s">
        <v>563</v>
      </c>
      <c r="G332" s="892">
        <v>0</v>
      </c>
      <c r="H332" s="631" t="s">
        <v>106</v>
      </c>
      <c r="I332" s="1403" t="str">
        <f t="shared" si="60"/>
        <v>Ja</v>
      </c>
      <c r="J332" s="824" t="str">
        <f t="shared" si="61"/>
        <v>--</v>
      </c>
      <c r="K332" s="898" t="str">
        <f t="shared" si="62"/>
        <v>--</v>
      </c>
      <c r="M332" s="1688" t="s">
        <v>1023</v>
      </c>
      <c r="N332" s="948"/>
      <c r="O332" s="948"/>
      <c r="Q332" s="2"/>
      <c r="R332" s="2"/>
      <c r="AF332" s="1951"/>
    </row>
    <row r="333" spans="1:32" ht="15.75" thickBot="1" x14ac:dyDescent="0.3">
      <c r="A333" s="254">
        <v>7</v>
      </c>
      <c r="B333" s="874" t="str">
        <f t="shared" si="57"/>
        <v>--</v>
      </c>
      <c r="C333" s="878" t="str">
        <f t="shared" si="58"/>
        <v>--</v>
      </c>
      <c r="D333" s="590" t="str">
        <f t="shared" si="58"/>
        <v>--</v>
      </c>
      <c r="E333" s="898" t="str">
        <f t="shared" si="59"/>
        <v>--</v>
      </c>
      <c r="F333" s="889" t="s">
        <v>563</v>
      </c>
      <c r="G333" s="892">
        <v>0</v>
      </c>
      <c r="H333" s="631" t="s">
        <v>106</v>
      </c>
      <c r="I333" s="1403" t="str">
        <f t="shared" si="60"/>
        <v>Ja</v>
      </c>
      <c r="J333" s="824" t="str">
        <f t="shared" si="61"/>
        <v>--</v>
      </c>
      <c r="K333" s="898" t="str">
        <f t="shared" si="62"/>
        <v>--</v>
      </c>
      <c r="M333" s="864" t="s">
        <v>101</v>
      </c>
      <c r="N333" s="642" t="s">
        <v>570</v>
      </c>
      <c r="O333" s="642" t="s">
        <v>571</v>
      </c>
      <c r="Q333" s="2"/>
      <c r="R333" s="2"/>
      <c r="AF333" s="1951"/>
    </row>
    <row r="334" spans="1:32" x14ac:dyDescent="0.25">
      <c r="A334" s="254">
        <v>8</v>
      </c>
      <c r="B334" s="874" t="str">
        <f t="shared" si="57"/>
        <v>--</v>
      </c>
      <c r="C334" s="878" t="str">
        <f t="shared" si="58"/>
        <v>--</v>
      </c>
      <c r="D334" s="590" t="str">
        <f t="shared" si="58"/>
        <v>--</v>
      </c>
      <c r="E334" s="898" t="str">
        <f t="shared" si="59"/>
        <v>--</v>
      </c>
      <c r="F334" s="889" t="s">
        <v>563</v>
      </c>
      <c r="G334" s="892">
        <v>0</v>
      </c>
      <c r="H334" s="631" t="s">
        <v>106</v>
      </c>
      <c r="I334" s="1403" t="str">
        <f t="shared" si="60"/>
        <v>Ja</v>
      </c>
      <c r="J334" s="824" t="str">
        <f t="shared" si="61"/>
        <v>--</v>
      </c>
      <c r="K334" s="898" t="str">
        <f t="shared" si="62"/>
        <v>--</v>
      </c>
      <c r="M334" s="1011" t="s">
        <v>568</v>
      </c>
      <c r="N334" s="629">
        <v>125.99</v>
      </c>
      <c r="O334" s="949">
        <v>314</v>
      </c>
      <c r="Q334" s="2"/>
      <c r="R334" s="2"/>
      <c r="AF334" s="1951"/>
    </row>
    <row r="335" spans="1:32" x14ac:dyDescent="0.25">
      <c r="A335" s="254">
        <v>9</v>
      </c>
      <c r="B335" s="874" t="str">
        <f t="shared" si="57"/>
        <v>--</v>
      </c>
      <c r="C335" s="878" t="str">
        <f t="shared" si="58"/>
        <v>--</v>
      </c>
      <c r="D335" s="590" t="str">
        <f t="shared" si="58"/>
        <v>--</v>
      </c>
      <c r="E335" s="898" t="str">
        <f t="shared" si="59"/>
        <v>--</v>
      </c>
      <c r="F335" s="889" t="s">
        <v>563</v>
      </c>
      <c r="G335" s="892">
        <v>0</v>
      </c>
      <c r="H335" s="631" t="s">
        <v>106</v>
      </c>
      <c r="I335" s="1403" t="str">
        <f t="shared" si="60"/>
        <v>Ja</v>
      </c>
      <c r="J335" s="824" t="str">
        <f t="shared" si="61"/>
        <v>--</v>
      </c>
      <c r="K335" s="898" t="str">
        <f t="shared" si="62"/>
        <v>--</v>
      </c>
      <c r="M335" s="1008" t="s">
        <v>569</v>
      </c>
      <c r="N335" s="945">
        <v>475.17</v>
      </c>
      <c r="O335" s="945">
        <v>475.17</v>
      </c>
      <c r="Q335" s="2"/>
      <c r="R335" s="2"/>
      <c r="AF335" s="1951"/>
    </row>
    <row r="336" spans="1:32" x14ac:dyDescent="0.25">
      <c r="A336" s="254">
        <v>10</v>
      </c>
      <c r="B336" s="874" t="str">
        <f t="shared" si="57"/>
        <v>--</v>
      </c>
      <c r="C336" s="878" t="str">
        <f t="shared" si="58"/>
        <v>--</v>
      </c>
      <c r="D336" s="590" t="str">
        <f t="shared" si="58"/>
        <v>--</v>
      </c>
      <c r="E336" s="898" t="str">
        <f t="shared" si="59"/>
        <v>--</v>
      </c>
      <c r="F336" s="889" t="s">
        <v>563</v>
      </c>
      <c r="G336" s="892">
        <v>0</v>
      </c>
      <c r="H336" s="631" t="s">
        <v>106</v>
      </c>
      <c r="I336" s="1403" t="str">
        <f t="shared" si="60"/>
        <v>Ja</v>
      </c>
      <c r="J336" s="824" t="str">
        <f t="shared" si="61"/>
        <v>--</v>
      </c>
      <c r="K336" s="898" t="str">
        <f t="shared" si="62"/>
        <v>--</v>
      </c>
      <c r="M336" s="1008" t="s">
        <v>1012</v>
      </c>
      <c r="N336" s="945">
        <v>304.95</v>
      </c>
      <c r="O336" s="945">
        <v>304.95</v>
      </c>
      <c r="Q336" s="2"/>
      <c r="R336" s="2"/>
      <c r="AF336" s="1951"/>
    </row>
    <row r="337" spans="1:32" ht="15.75" thickBot="1" x14ac:dyDescent="0.3">
      <c r="A337" s="254">
        <v>11</v>
      </c>
      <c r="B337" s="874" t="str">
        <f t="shared" si="57"/>
        <v>--</v>
      </c>
      <c r="C337" s="878" t="str">
        <f t="shared" si="58"/>
        <v>--</v>
      </c>
      <c r="D337" s="590" t="str">
        <f t="shared" si="58"/>
        <v>--</v>
      </c>
      <c r="E337" s="898" t="str">
        <f t="shared" si="59"/>
        <v>--</v>
      </c>
      <c r="F337" s="889" t="s">
        <v>563</v>
      </c>
      <c r="G337" s="892">
        <v>0</v>
      </c>
      <c r="H337" s="631" t="s">
        <v>106</v>
      </c>
      <c r="I337" s="1403" t="str">
        <f t="shared" si="60"/>
        <v>Ja</v>
      </c>
      <c r="J337" s="824" t="str">
        <f t="shared" si="61"/>
        <v>--</v>
      </c>
      <c r="K337" s="898" t="str">
        <f t="shared" si="62"/>
        <v>--</v>
      </c>
      <c r="M337" s="1012" t="s">
        <v>572</v>
      </c>
      <c r="N337" s="952">
        <v>210.83</v>
      </c>
      <c r="O337" s="946">
        <v>210.83</v>
      </c>
      <c r="Q337" s="2"/>
      <c r="R337" s="2"/>
      <c r="AF337" s="1951"/>
    </row>
    <row r="338" spans="1:32" ht="15.75" thickBot="1" x14ac:dyDescent="0.3">
      <c r="A338" s="518">
        <v>12</v>
      </c>
      <c r="B338" s="875" t="str">
        <f t="shared" si="57"/>
        <v>--</v>
      </c>
      <c r="C338" s="879" t="str">
        <f t="shared" si="58"/>
        <v>--</v>
      </c>
      <c r="D338" s="2193" t="str">
        <f t="shared" si="58"/>
        <v>--</v>
      </c>
      <c r="E338" s="899" t="str">
        <f t="shared" si="59"/>
        <v>--</v>
      </c>
      <c r="F338" s="890" t="s">
        <v>563</v>
      </c>
      <c r="G338" s="893">
        <v>0</v>
      </c>
      <c r="H338" s="895" t="s">
        <v>106</v>
      </c>
      <c r="I338" s="1404" t="str">
        <f t="shared" si="60"/>
        <v>Ja</v>
      </c>
      <c r="J338" s="919" t="str">
        <f t="shared" si="61"/>
        <v>--</v>
      </c>
      <c r="K338" s="899" t="str">
        <f t="shared" si="62"/>
        <v>--</v>
      </c>
      <c r="M338" s="896" t="s">
        <v>548</v>
      </c>
      <c r="N338" s="953">
        <f>SUM(N334:N337)</f>
        <v>1116.9399999999998</v>
      </c>
      <c r="O338" s="950">
        <f>SUM(O334:O337)</f>
        <v>1304.95</v>
      </c>
      <c r="Q338" s="2"/>
      <c r="R338" s="2"/>
      <c r="AF338" s="1951"/>
    </row>
    <row r="339" spans="1:32" ht="15.75" thickBot="1" x14ac:dyDescent="0.3">
      <c r="B339" s="2194" t="s">
        <v>1028</v>
      </c>
      <c r="C339" s="2195" t="str" cm="1">
        <f t="array" ref="C339">IF(_xlfn.XLOOKUP(11,_xlfn._xlws.FILTER($K327:$K338,C327:C338="0 t/m 17 (Tabel)",0),_xlfn._xlws.FILTER($K327:$K338,C327:C338="0 t/m 17 (Tabel)",0),0,-1)=0,"Nee","Ja")</f>
        <v>Nee</v>
      </c>
      <c r="D339" s="2195" t="str" cm="1">
        <f t="array" ref="D339">IF(_xlfn.XLOOKUP(11,_xlfn._xlws.FILTER($K327:$K338,D327:D338="0 t/m 17 (Tabel)",0),_xlfn._xlws.FILTER($K327:$K338,D327:D338="0 t/m 17 (Tabel)",0),0,-1)=0,"Nee","Ja")</f>
        <v>Nee</v>
      </c>
      <c r="G339" s="2899" t="s">
        <v>577</v>
      </c>
      <c r="H339" s="2900"/>
      <c r="I339" s="886">
        <f>DATE(YEAR($C$16),8,1)</f>
        <v>45870</v>
      </c>
      <c r="M339" s="1010" t="s">
        <v>585</v>
      </c>
      <c r="N339" s="951">
        <v>2530</v>
      </c>
      <c r="O339" s="948" t="s">
        <v>1025</v>
      </c>
      <c r="Q339" s="2"/>
      <c r="R339" s="2"/>
      <c r="AF339" s="1951"/>
    </row>
    <row r="340" spans="1:32" x14ac:dyDescent="0.25">
      <c r="G340" s="303" t="s">
        <v>582</v>
      </c>
      <c r="H340" s="16" t="s">
        <v>583</v>
      </c>
      <c r="AF340" s="1951"/>
    </row>
    <row r="341" spans="1:32" x14ac:dyDescent="0.25">
      <c r="G341" s="303" t="s">
        <v>580</v>
      </c>
      <c r="H341" s="16" t="s">
        <v>581</v>
      </c>
      <c r="AF341" s="1951"/>
    </row>
    <row r="342" spans="1:32" ht="19.5" thickBot="1" x14ac:dyDescent="0.3">
      <c r="A342" s="3">
        <v>144</v>
      </c>
      <c r="B342" s="2530" t="s">
        <v>931</v>
      </c>
      <c r="C342" s="633"/>
      <c r="D342" s="633"/>
      <c r="E342" s="22"/>
      <c r="F342" s="22"/>
      <c r="G342" s="22"/>
      <c r="H342" s="22"/>
      <c r="AF342" s="1951"/>
    </row>
    <row r="343" spans="1:32" ht="15.75" thickBot="1" x14ac:dyDescent="0.3">
      <c r="B343" s="634" t="str">
        <f>BGPartner_AP</f>
        <v>A. Plichtig</v>
      </c>
      <c r="C343" s="633"/>
      <c r="D343" s="633"/>
      <c r="E343" s="22"/>
      <c r="F343" s="22"/>
      <c r="G343" s="22"/>
      <c r="H343" s="22"/>
      <c r="AF343" s="1951"/>
    </row>
    <row r="344" spans="1:32" ht="15.75" thickBot="1" x14ac:dyDescent="0.3">
      <c r="B344" s="1032" t="s">
        <v>414</v>
      </c>
      <c r="C344" s="1026">
        <f>IF(AL94VerzInkomen_AP&lt;=0,0,AL94VerzInkomen_AP)</f>
        <v>0</v>
      </c>
      <c r="D344" s="636" t="s">
        <v>231</v>
      </c>
      <c r="E344" s="22"/>
      <c r="F344" s="22"/>
      <c r="G344" s="22"/>
      <c r="H344" s="22"/>
      <c r="AF344" s="1951"/>
    </row>
    <row r="345" spans="1:32" ht="15.75" thickBot="1" x14ac:dyDescent="0.3">
      <c r="A345" s="719" t="s">
        <v>225</v>
      </c>
      <c r="B345" s="1033" t="s">
        <v>70</v>
      </c>
      <c r="C345" s="1034" t="s">
        <v>234</v>
      </c>
      <c r="D345" s="1035" t="s">
        <v>230</v>
      </c>
      <c r="E345" s="641" t="s">
        <v>236</v>
      </c>
      <c r="F345" s="641" t="s">
        <v>237</v>
      </c>
      <c r="G345" s="641" t="s">
        <v>188</v>
      </c>
      <c r="H345" s="642" t="s">
        <v>227</v>
      </c>
      <c r="AF345" s="1951"/>
    </row>
    <row r="346" spans="1:32" x14ac:dyDescent="0.25">
      <c r="A346" s="703">
        <v>1</v>
      </c>
      <c r="B346" s="1030" t="s">
        <v>233</v>
      </c>
      <c r="C346" s="1027"/>
      <c r="D346" s="1028"/>
      <c r="E346" s="1029">
        <f>IF('Alimentatie 2025-01'!D297&lt;=0,0,'Alimentatie 2025-01'!D297*12)</f>
        <v>0</v>
      </c>
      <c r="F346" s="1027"/>
      <c r="G346" s="1030" t="s">
        <v>235</v>
      </c>
      <c r="H346" s="1031"/>
      <c r="AF346" s="1951"/>
    </row>
    <row r="347" spans="1:32" x14ac:dyDescent="0.25">
      <c r="A347" s="704">
        <v>2</v>
      </c>
      <c r="B347" s="79" t="s">
        <v>228</v>
      </c>
      <c r="C347" s="2255">
        <f>$M$16</f>
        <v>38441</v>
      </c>
      <c r="D347" s="1021"/>
      <c r="E347" s="648"/>
      <c r="F347" s="649"/>
      <c r="G347" s="1038" t="str">
        <f>IF(AND(C344&lt;=C347,C344&gt;0),"        Ga door naar:","")</f>
        <v/>
      </c>
      <c r="H347" s="650">
        <v>10</v>
      </c>
      <c r="AF347" s="1951"/>
    </row>
    <row r="348" spans="1:32" ht="15.75" thickBot="1" x14ac:dyDescent="0.3">
      <c r="A348" s="705">
        <v>3</v>
      </c>
      <c r="B348" s="376" t="s">
        <v>229</v>
      </c>
      <c r="C348" s="647">
        <f>$M$17</f>
        <v>76816</v>
      </c>
      <c r="D348" s="1022"/>
      <c r="E348" s="651"/>
      <c r="F348" s="652"/>
      <c r="G348" s="1037" t="str">
        <f>IF(AND(C344&gt;C347,C344&lt;=C348),"        Ga door naar:","")</f>
        <v/>
      </c>
      <c r="H348" s="653">
        <v>7</v>
      </c>
      <c r="AF348" s="1951"/>
    </row>
    <row r="349" spans="1:32" x14ac:dyDescent="0.25">
      <c r="A349" s="703">
        <v>4</v>
      </c>
      <c r="B349" s="929" t="str">
        <f>CONCATENATE("Bereken [(BI) - € ",C348,"] x ",D349)</f>
        <v>Bereken [(BI) - € 76816] x 0,6252</v>
      </c>
      <c r="C349" s="654"/>
      <c r="D349" s="1316">
        <f>ROUND((1-BGBelastingTariefSchijf2)/1,4)</f>
        <v>0.62519999999999998</v>
      </c>
      <c r="E349" s="587" t="str">
        <f>IF(C344&gt;C348,(C344-C348)*D349,"n.v.t")</f>
        <v>n.v.t</v>
      </c>
      <c r="F349" s="654"/>
      <c r="G349" s="655" t="s">
        <v>232</v>
      </c>
      <c r="H349" s="656"/>
      <c r="AF349" s="1951"/>
    </row>
    <row r="350" spans="1:32" x14ac:dyDescent="0.25">
      <c r="A350" s="704">
        <v>5</v>
      </c>
      <c r="B350" s="79" t="str">
        <f>CONCATENATE("Is (P) groter dan (NA)? Bereken dan (NA) x ",D350)</f>
        <v>Is (P) groter dan (NA)? Bereken dan (NA) x 1,5995</v>
      </c>
      <c r="C350" s="648"/>
      <c r="D350" s="1316">
        <f>ROUND(1/(1-BGBelastingTariefSchijf2),4)</f>
        <v>1.5994999999999999</v>
      </c>
      <c r="E350" s="648"/>
      <c r="F350" s="661" t="str">
        <f>IF(C344&gt;C348,IF(E349&gt;E346,E346*D350,"Kleiner"),"n.v.t")</f>
        <v>n.v.t</v>
      </c>
      <c r="G350" s="1036" t="str">
        <f>IF(OR(F350="Kleiner",F350="n.v.t"),"+","+     Ga door naar:")</f>
        <v>+</v>
      </c>
      <c r="H350" s="658">
        <v>11</v>
      </c>
      <c r="AF350" s="1951"/>
    </row>
    <row r="351" spans="1:32" x14ac:dyDescent="0.25">
      <c r="A351" s="704">
        <v>6</v>
      </c>
      <c r="B351" s="79" t="str">
        <f>CONCATENATE("Is (P) kleiner dan (NA)? Bereken (P) x ",D350)</f>
        <v>Is (P) kleiner dan (NA)? Bereken (P) x 1,5995</v>
      </c>
      <c r="C351" s="648"/>
      <c r="D351" s="1021"/>
      <c r="E351" s="648"/>
      <c r="F351" s="661" t="str">
        <f>IF(F350="Kleiner",E349*D350,"n.v.t")</f>
        <v>n.v.t</v>
      </c>
      <c r="G351" s="657" t="s">
        <v>73</v>
      </c>
      <c r="H351" s="650"/>
      <c r="AF351" s="1951"/>
    </row>
    <row r="352" spans="1:32" x14ac:dyDescent="0.25">
      <c r="A352" s="704"/>
      <c r="B352" s="659" t="s">
        <v>238</v>
      </c>
      <c r="C352" s="660"/>
      <c r="D352" s="1023"/>
      <c r="E352" s="661" t="str">
        <f>IF(OR(C344&gt;C348,LEFT(F350,7)="Kleiner"),E346-E349,"n.v.t")</f>
        <v>n.v.t</v>
      </c>
      <c r="F352" s="662"/>
      <c r="G352" s="660" t="s">
        <v>235</v>
      </c>
      <c r="H352" s="663"/>
      <c r="AF352" s="1951"/>
    </row>
    <row r="353" spans="1:32" x14ac:dyDescent="0.25">
      <c r="A353" s="704"/>
      <c r="B353" s="664" t="s">
        <v>239</v>
      </c>
      <c r="C353" s="648"/>
      <c r="D353" s="1021"/>
      <c r="E353" s="649"/>
      <c r="F353" s="649"/>
      <c r="G353" s="648"/>
      <c r="H353" s="650"/>
      <c r="AF353" s="1951"/>
    </row>
    <row r="354" spans="1:32" ht="18" thickBot="1" x14ac:dyDescent="0.3">
      <c r="A354" s="706"/>
      <c r="B354" s="665" t="str">
        <f>CONCATENATE("(BI) stellen we nu op € ",C348)</f>
        <v>(BI) stellen we nu op € 76816</v>
      </c>
      <c r="C354" s="666" t="s">
        <v>240</v>
      </c>
      <c r="D354" s="1024"/>
      <c r="E354" s="667"/>
      <c r="F354" s="667"/>
      <c r="G354" s="667"/>
      <c r="H354" s="668"/>
      <c r="AF354" s="1951"/>
    </row>
    <row r="355" spans="1:32" x14ac:dyDescent="0.25">
      <c r="A355" s="703">
        <v>7</v>
      </c>
      <c r="B355" s="929" t="str">
        <f>CONCATENATE("Bereken [(BI) - € ",C347,"] x ",D355)</f>
        <v>Bereken [(BI) - € 38441] x 0,6252</v>
      </c>
      <c r="C355" s="645">
        <f>IF(F350="n.v.t",0,IF(LEFT(F350,7)="Kleiner",C348,0))</f>
        <v>0</v>
      </c>
      <c r="D355" s="1315">
        <f>D349</f>
        <v>0.62519999999999998</v>
      </c>
      <c r="E355" s="587" t="str">
        <f>IF(C355=C348,(C348-C347)*D355,IF(AND(C344&lt;=C348,C344&gt;C347),(C344-C347)*D355,"n.v.t"))</f>
        <v>n.v.t</v>
      </c>
      <c r="F355" s="669"/>
      <c r="G355" s="654" t="s">
        <v>232</v>
      </c>
      <c r="H355" s="656"/>
      <c r="AF355" s="1951"/>
    </row>
    <row r="356" spans="1:32" x14ac:dyDescent="0.25">
      <c r="A356" s="704">
        <v>8</v>
      </c>
      <c r="B356" s="79" t="str">
        <f>CONCATENATE("Is (P) groter dan (NA)? Bereken dan (NA) x ",D356)</f>
        <v>Is (P) groter dan (NA)? Bereken dan (NA) x 1,5995</v>
      </c>
      <c r="C356" s="648"/>
      <c r="D356" s="1316">
        <f>D350</f>
        <v>1.5994999999999999</v>
      </c>
      <c r="E356" s="649"/>
      <c r="F356" s="661" t="str">
        <f>IF(ISNUMBER(F350),0,IF(C344&lt;=C347,"n.v.t",IF(AND(C355=C348,E355&gt;E352),E352*D356,IF(AND(C355=0,E355&gt;E346),E346*D356,"Kleiner"))))</f>
        <v>n.v.t</v>
      </c>
      <c r="G356" s="1036" t="str">
        <f>IF(OR(F356="Kleiner",F356="n.v.t"),"+","+     Ga door naar:")</f>
        <v>+</v>
      </c>
      <c r="H356" s="650">
        <v>11</v>
      </c>
      <c r="AF356" s="1951"/>
    </row>
    <row r="357" spans="1:32" x14ac:dyDescent="0.25">
      <c r="A357" s="704">
        <v>9</v>
      </c>
      <c r="B357" s="79" t="str">
        <f>CONCATENATE("Is (P) kleiner dan (NA)? Bereken (P) x ",D356)</f>
        <v>Is (P) kleiner dan (NA)? Bereken (P) x 1,5995</v>
      </c>
      <c r="C357" s="632"/>
      <c r="D357" s="1025"/>
      <c r="E357" s="648"/>
      <c r="F357" s="661" t="str">
        <f>IF(F356="Kleiner",E355*D356,"n.v.t")</f>
        <v>n.v.t</v>
      </c>
      <c r="G357" s="657" t="s">
        <v>73</v>
      </c>
      <c r="H357" s="650"/>
      <c r="AF357" s="1951"/>
    </row>
    <row r="358" spans="1:32" x14ac:dyDescent="0.25">
      <c r="A358" s="704"/>
      <c r="B358" s="659" t="s">
        <v>238</v>
      </c>
      <c r="C358" s="660"/>
      <c r="D358" s="1023"/>
      <c r="E358" s="661" t="str">
        <f>IF(AND(C355=C348,F356="Kleiner"),(E352-E355),IF(AND(C344&lt;=C348,C344&gt;C347,F356="Kleiner"),E346-E355,"n.v.t"))</f>
        <v>n.v.t</v>
      </c>
      <c r="F358" s="662"/>
      <c r="G358" s="660" t="s">
        <v>235</v>
      </c>
      <c r="H358" s="663"/>
      <c r="J358" s="2254"/>
      <c r="AF358" s="1951"/>
    </row>
    <row r="359" spans="1:32" ht="15.75" thickBot="1" x14ac:dyDescent="0.3">
      <c r="A359" s="704"/>
      <c r="B359" s="664" t="s">
        <v>226</v>
      </c>
      <c r="C359" s="648"/>
      <c r="D359" s="1021"/>
      <c r="E359" s="649"/>
      <c r="F359" s="649"/>
      <c r="G359" s="648"/>
      <c r="H359" s="650"/>
      <c r="AF359" s="1951"/>
    </row>
    <row r="360" spans="1:32" x14ac:dyDescent="0.25">
      <c r="A360" s="703">
        <v>10</v>
      </c>
      <c r="B360" s="929" t="str">
        <f>CONCATENATE("Bereken (NA) x ",D360)</f>
        <v>Bereken (NA) x 1,5581</v>
      </c>
      <c r="C360" s="654"/>
      <c r="D360" s="1315">
        <f>ROUND(1/(1-BGBelastingTariefSchijf1),4)</f>
        <v>1.5581</v>
      </c>
      <c r="E360" s="669"/>
      <c r="F360" s="587">
        <f>IF(BGAOWLeeftijdBereikt_AP="Nee",IF(C344&lt;=C347,E346*D360,IF(E358="n.v.t","n.v.t",E358*D360)),IF(C344&lt;=C347,E346*D362,IF(E358="n.v.t","n.v.t",E358*D362)))</f>
        <v>0</v>
      </c>
      <c r="G360" s="654"/>
      <c r="H360" s="656"/>
      <c r="AF360" s="1951"/>
    </row>
    <row r="361" spans="1:32" x14ac:dyDescent="0.25">
      <c r="A361" s="704"/>
      <c r="B361" s="670" t="s">
        <v>902</v>
      </c>
      <c r="C361" s="648"/>
      <c r="D361" s="649"/>
      <c r="E361" s="649"/>
      <c r="F361" s="648"/>
      <c r="G361" s="648"/>
      <c r="H361" s="650"/>
      <c r="AF361" s="1951"/>
    </row>
    <row r="362" spans="1:32" ht="16.5" customHeight="1" thickBot="1" x14ac:dyDescent="0.3">
      <c r="A362" s="706"/>
      <c r="B362" s="295" t="str">
        <f>CONCATENATE("Bereken (NA) x ",D362)</f>
        <v>Bereken (NA) x 1,2183</v>
      </c>
      <c r="C362" s="671"/>
      <c r="D362" s="1317">
        <f>ROUND(1/(1-O23),4)</f>
        <v>1.2182999999999999</v>
      </c>
      <c r="E362" s="671"/>
      <c r="F362" s="671"/>
      <c r="G362" s="671"/>
      <c r="H362" s="672"/>
      <c r="AF362" s="1951"/>
    </row>
    <row r="363" spans="1:32" ht="16.5" thickBot="1" x14ac:dyDescent="0.3">
      <c r="A363" s="101">
        <v>144</v>
      </c>
      <c r="B363" s="2697" t="s">
        <v>299</v>
      </c>
      <c r="C363" s="2698"/>
      <c r="D363" s="2698"/>
      <c r="E363" s="2699"/>
      <c r="F363" s="673">
        <f>IF(LEFT('Alimentatie 2025-01'!D304,2)="Ja","Zie 145/146",SUM(F346:F362))</f>
        <v>0</v>
      </c>
      <c r="G363" s="674"/>
      <c r="H363" s="675"/>
      <c r="AF363" s="1951"/>
    </row>
    <row r="364" spans="1:32" x14ac:dyDescent="0.25">
      <c r="B364" s="628"/>
      <c r="C364" s="633"/>
      <c r="D364" s="633"/>
      <c r="E364" s="22"/>
      <c r="F364" s="676"/>
      <c r="G364" s="22"/>
      <c r="H364" s="22"/>
      <c r="AF364" s="1951"/>
    </row>
    <row r="365" spans="1:32" ht="19.5" thickBot="1" x14ac:dyDescent="0.3">
      <c r="B365" s="2530" t="s">
        <v>931</v>
      </c>
      <c r="C365" s="633"/>
      <c r="D365" s="633"/>
      <c r="E365" s="22"/>
      <c r="F365" s="22"/>
      <c r="G365" s="676"/>
      <c r="H365" s="22"/>
      <c r="AF365" s="1951"/>
    </row>
    <row r="366" spans="1:32" ht="15.75" thickBot="1" x14ac:dyDescent="0.3">
      <c r="A366" s="3"/>
      <c r="B366" s="634" t="str">
        <f>BGPartner_AG</f>
        <v>A. Gerechtigd</v>
      </c>
      <c r="C366" s="633"/>
      <c r="D366" s="633"/>
      <c r="E366" s="22"/>
      <c r="F366" s="22"/>
      <c r="G366" s="22"/>
      <c r="H366" s="22"/>
      <c r="AF366" s="1951"/>
    </row>
    <row r="367" spans="1:32" ht="15.75" thickBot="1" x14ac:dyDescent="0.3">
      <c r="B367" s="920" t="s">
        <v>414</v>
      </c>
      <c r="C367" s="635">
        <f>IF(AL94VerzInkomen_AG&lt;=0,0,AL94VerzInkomen_AG)</f>
        <v>0</v>
      </c>
      <c r="D367" s="636" t="s">
        <v>231</v>
      </c>
      <c r="E367" s="22"/>
      <c r="F367" s="22"/>
      <c r="G367" s="22"/>
      <c r="H367" s="22"/>
      <c r="AF367" s="1951"/>
    </row>
    <row r="368" spans="1:32" ht="15.75" thickBot="1" x14ac:dyDescent="0.3">
      <c r="A368" s="5" t="s">
        <v>225</v>
      </c>
      <c r="B368" s="637" t="s">
        <v>70</v>
      </c>
      <c r="C368" s="638" t="s">
        <v>234</v>
      </c>
      <c r="D368" s="639" t="s">
        <v>230</v>
      </c>
      <c r="E368" s="640" t="s">
        <v>236</v>
      </c>
      <c r="F368" s="641" t="s">
        <v>237</v>
      </c>
      <c r="G368" s="641" t="s">
        <v>188</v>
      </c>
      <c r="H368" s="642" t="s">
        <v>227</v>
      </c>
      <c r="AF368" s="1951"/>
    </row>
    <row r="369" spans="1:32" x14ac:dyDescent="0.25">
      <c r="A369" s="56">
        <v>1</v>
      </c>
      <c r="B369" s="643" t="s">
        <v>233</v>
      </c>
      <c r="C369" s="644"/>
      <c r="D369" s="1020"/>
      <c r="E369" s="645">
        <f>IF('Alimentatie 2025-01'!G$297&lt;=0,0,'Alimentatie 2025-01'!G$297*12)</f>
        <v>0</v>
      </c>
      <c r="F369" s="644"/>
      <c r="G369" s="643" t="s">
        <v>235</v>
      </c>
      <c r="H369" s="646"/>
      <c r="AF369" s="1951"/>
    </row>
    <row r="370" spans="1:32" x14ac:dyDescent="0.25">
      <c r="A370" s="25">
        <v>2</v>
      </c>
      <c r="B370" s="79" t="s">
        <v>228</v>
      </c>
      <c r="C370" s="647">
        <f>$M$16</f>
        <v>38441</v>
      </c>
      <c r="D370" s="1021"/>
      <c r="E370" s="648"/>
      <c r="F370" s="649"/>
      <c r="G370" s="1038" t="str">
        <f>IF(AND(C367&lt;=C370,C367&gt;0),"        Ga door naar:","")</f>
        <v/>
      </c>
      <c r="H370" s="650">
        <v>10</v>
      </c>
      <c r="AF370" s="1951"/>
    </row>
    <row r="371" spans="1:32" ht="15.75" thickBot="1" x14ac:dyDescent="0.3">
      <c r="A371" s="150">
        <v>3</v>
      </c>
      <c r="B371" s="376" t="s">
        <v>229</v>
      </c>
      <c r="C371" s="647">
        <f>$M$17</f>
        <v>76816</v>
      </c>
      <c r="D371" s="1022"/>
      <c r="E371" s="651"/>
      <c r="F371" s="652"/>
      <c r="G371" s="1037" t="str">
        <f>IF(AND(C367&gt;C370,C367&lt;=C371),"        Ga door naar:","")</f>
        <v/>
      </c>
      <c r="H371" s="653">
        <v>7</v>
      </c>
      <c r="AF371" s="1951"/>
    </row>
    <row r="372" spans="1:32" x14ac:dyDescent="0.25">
      <c r="A372" s="56">
        <v>4</v>
      </c>
      <c r="B372" s="929" t="str">
        <f>CONCATENATE("Bereken [(BI) - € ",C371,"] x ",D372)</f>
        <v>Bereken [(BI) - € 76816] x 0,6252</v>
      </c>
      <c r="C372" s="654"/>
      <c r="D372" s="1315">
        <f>D$349</f>
        <v>0.62519999999999998</v>
      </c>
      <c r="E372" s="587" t="str">
        <f>IF(C367&gt;C371,(C367-C371)*D372,"n.v.t")</f>
        <v>n.v.t</v>
      </c>
      <c r="F372" s="654"/>
      <c r="G372" s="655" t="s">
        <v>232</v>
      </c>
      <c r="H372" s="656"/>
      <c r="AF372" s="1951"/>
    </row>
    <row r="373" spans="1:32" x14ac:dyDescent="0.25">
      <c r="A373" s="25">
        <v>5</v>
      </c>
      <c r="B373" s="79" t="str">
        <f>CONCATENATE("Is (P) groter dan (NA)? Bereken dan (NA) x ",D373)</f>
        <v>Is (P) groter dan (NA)? Bereken dan (NA) x 1,5995</v>
      </c>
      <c r="C373" s="648"/>
      <c r="D373" s="1316">
        <f>D$350</f>
        <v>1.5994999999999999</v>
      </c>
      <c r="E373" s="648"/>
      <c r="F373" s="661" t="str">
        <f>IF(C367&gt;C371,IF(E372&gt;E369,E369*D373,"Kleiner"),"n.v.t")</f>
        <v>n.v.t</v>
      </c>
      <c r="G373" s="1036" t="str">
        <f>IF(OR(F373="Kleiner",F373="n.v.t"),"+","+     Ga door naar:")</f>
        <v>+</v>
      </c>
      <c r="H373" s="658">
        <v>11</v>
      </c>
      <c r="AF373" s="1951"/>
    </row>
    <row r="374" spans="1:32" x14ac:dyDescent="0.25">
      <c r="A374" s="25">
        <v>6</v>
      </c>
      <c r="B374" s="79" t="str">
        <f>CONCATENATE("Is (P) kleiner dan (NA)? Bereken (P) x ",D373)</f>
        <v>Is (P) kleiner dan (NA)? Bereken (P) x 1,5995</v>
      </c>
      <c r="C374" s="648"/>
      <c r="D374" s="1021"/>
      <c r="E374" s="648"/>
      <c r="F374" s="661" t="str">
        <f>IF(F373="Kleiner",E372*D373,"n.v.t")</f>
        <v>n.v.t</v>
      </c>
      <c r="G374" s="657" t="s">
        <v>73</v>
      </c>
      <c r="H374" s="650"/>
      <c r="AF374" s="1951"/>
    </row>
    <row r="375" spans="1:32" x14ac:dyDescent="0.25">
      <c r="A375" s="25"/>
      <c r="B375" s="659" t="s">
        <v>238</v>
      </c>
      <c r="C375" s="660"/>
      <c r="D375" s="1023"/>
      <c r="E375" s="661" t="str">
        <f>IF(OR(C367&gt;C371,LEFT(F373,7)="Kleiner"),E369-E372,"n.v.t")</f>
        <v>n.v.t</v>
      </c>
      <c r="F375" s="662"/>
      <c r="G375" s="660" t="s">
        <v>235</v>
      </c>
      <c r="H375" s="663"/>
      <c r="AF375" s="1951"/>
    </row>
    <row r="376" spans="1:32" x14ac:dyDescent="0.25">
      <c r="A376" s="25"/>
      <c r="B376" s="771" t="s">
        <v>239</v>
      </c>
      <c r="C376" s="648"/>
      <c r="D376" s="1021"/>
      <c r="E376" s="649"/>
      <c r="F376" s="649"/>
      <c r="G376" s="648"/>
      <c r="H376" s="650"/>
      <c r="AF376" s="1951"/>
    </row>
    <row r="377" spans="1:32" ht="18" thickBot="1" x14ac:dyDescent="0.3">
      <c r="A377" s="27"/>
      <c r="B377" s="772" t="str">
        <f>CONCATENATE("(BI) stellen we nu op € ",C371)</f>
        <v>(BI) stellen we nu op € 76816</v>
      </c>
      <c r="C377" s="666" t="s">
        <v>240</v>
      </c>
      <c r="D377" s="1024"/>
      <c r="E377" s="667"/>
      <c r="F377" s="667"/>
      <c r="G377" s="667"/>
      <c r="H377" s="668"/>
      <c r="AF377" s="1951"/>
    </row>
    <row r="378" spans="1:32" x14ac:dyDescent="0.25">
      <c r="A378" s="56">
        <v>7</v>
      </c>
      <c r="B378" s="929" t="str">
        <f>CONCATENATE("Bereken [(BI) - € ",C370,"] x ",D378)</f>
        <v>Bereken [(BI) - € 38441] x 0,6252</v>
      </c>
      <c r="C378" s="645">
        <f>IF(F373="n.v.t",0,IF(LEFT(F373,7)="Kleiner",C371,0))</f>
        <v>0</v>
      </c>
      <c r="D378" s="1315">
        <f>D$372</f>
        <v>0.62519999999999998</v>
      </c>
      <c r="E378" s="587" t="str">
        <f>IF(C378=C371,(C371-C370)*D378,IF(AND(C367&lt;=C371,C367&gt;C370),(C367-C370)*D378,"n.v.t"))</f>
        <v>n.v.t</v>
      </c>
      <c r="F378" s="669"/>
      <c r="G378" s="654" t="s">
        <v>232</v>
      </c>
      <c r="H378" s="656"/>
      <c r="AF378" s="1951"/>
    </row>
    <row r="379" spans="1:32" x14ac:dyDescent="0.25">
      <c r="A379" s="25">
        <v>8</v>
      </c>
      <c r="B379" s="79" t="str">
        <f>CONCATENATE("Is (P) groter dan (NA)? Bereken dan (NA) x ",D379)</f>
        <v>Is (P) groter dan (NA)? Bereken dan (NA) x 1,5995</v>
      </c>
      <c r="C379" s="648"/>
      <c r="D379" s="1316">
        <f>D$373</f>
        <v>1.5994999999999999</v>
      </c>
      <c r="E379" s="649"/>
      <c r="F379" s="661" t="str">
        <f>IF(ISNUMBER(F373),0,IF(C367&lt;=C370,"n.v.t",IF(AND(C378=C371,E378&gt;E375),E375*D379,IF(AND(C378=0,E378&gt;E369),E369*D379,"Kleiner"))))</f>
        <v>n.v.t</v>
      </c>
      <c r="G379" s="1036" t="str">
        <f>IF(OR(F379="Kleiner",F379="n.v.t"),"+","+     Ga door naar:")</f>
        <v>+</v>
      </c>
      <c r="H379" s="650">
        <v>11</v>
      </c>
      <c r="AF379" s="1951"/>
    </row>
    <row r="380" spans="1:32" x14ac:dyDescent="0.25">
      <c r="A380" s="25">
        <v>9</v>
      </c>
      <c r="B380" s="79" t="str">
        <f>CONCATENATE("Is (P) kleiner dan (NA)? Bereken (P) x ",D379)</f>
        <v>Is (P) kleiner dan (NA)? Bereken (P) x 1,5995</v>
      </c>
      <c r="C380" s="632"/>
      <c r="D380" s="1025"/>
      <c r="E380" s="648"/>
      <c r="F380" s="661" t="str">
        <f>IF(F379="Kleiner",E378*D379,"n.v.t")</f>
        <v>n.v.t</v>
      </c>
      <c r="G380" s="657" t="s">
        <v>73</v>
      </c>
      <c r="H380" s="650"/>
      <c r="AF380" s="1951"/>
    </row>
    <row r="381" spans="1:32" x14ac:dyDescent="0.25">
      <c r="A381" s="25"/>
      <c r="B381" s="659" t="s">
        <v>238</v>
      </c>
      <c r="C381" s="660"/>
      <c r="D381" s="1023"/>
      <c r="E381" s="661" t="str">
        <f>IF(AND(C378=C371,F379="Kleiner"),(E375-E378),IF(AND(C367&lt;=C371,C367&gt;C370,F379="Kleiner"),E369-E378,"n.v.t"))</f>
        <v>n.v.t</v>
      </c>
      <c r="F381" s="662"/>
      <c r="G381" s="660" t="s">
        <v>235</v>
      </c>
      <c r="H381" s="663"/>
      <c r="AF381" s="1951"/>
    </row>
    <row r="382" spans="1:32" ht="15.75" thickBot="1" x14ac:dyDescent="0.3">
      <c r="A382" s="25"/>
      <c r="B382" s="771" t="s">
        <v>226</v>
      </c>
      <c r="C382" s="648"/>
      <c r="D382" s="1021"/>
      <c r="E382" s="649"/>
      <c r="F382" s="649"/>
      <c r="G382" s="648"/>
      <c r="H382" s="650"/>
      <c r="AF382" s="1951"/>
    </row>
    <row r="383" spans="1:32" x14ac:dyDescent="0.25">
      <c r="A383" s="56">
        <v>10</v>
      </c>
      <c r="B383" s="929" t="str">
        <f>CONCATENATE("Bereken (NA) x ",D383)</f>
        <v>Bereken (NA) x 1,5581</v>
      </c>
      <c r="C383" s="654"/>
      <c r="D383" s="1315">
        <f>D$360</f>
        <v>1.5581</v>
      </c>
      <c r="E383" s="669"/>
      <c r="F383" s="587">
        <f>IF(BGAOWLeeftijdBereikt_AP="Nee",IF(C367&lt;=C370,E369*D383,IF(E381="n.v.t","n.v.t",E381*D383)),IF(C367&lt;=C370,E369*D385,IF(E381="n.v.t","n.v.t",E381*D385)))</f>
        <v>0</v>
      </c>
      <c r="G383" s="654"/>
      <c r="H383" s="656"/>
      <c r="AF383" s="1951"/>
    </row>
    <row r="384" spans="1:32" x14ac:dyDescent="0.25">
      <c r="A384" s="25"/>
      <c r="B384" s="670" t="s">
        <v>902</v>
      </c>
      <c r="C384" s="648"/>
      <c r="D384" s="1021"/>
      <c r="E384" s="649"/>
      <c r="F384" s="648"/>
      <c r="G384" s="648"/>
      <c r="H384" s="650"/>
      <c r="AF384" s="1951"/>
    </row>
    <row r="385" spans="1:32" ht="15.75" thickBot="1" x14ac:dyDescent="0.3">
      <c r="A385" s="27"/>
      <c r="B385" s="295" t="str">
        <f>CONCATENATE("Bereken (NA) x ",D385)</f>
        <v>Bereken (NA) x 1,2183</v>
      </c>
      <c r="C385" s="671"/>
      <c r="D385" s="1317">
        <f>D$362</f>
        <v>1.2182999999999999</v>
      </c>
      <c r="E385" s="671"/>
      <c r="F385" s="671"/>
      <c r="G385" s="671"/>
      <c r="H385" s="672"/>
      <c r="AF385" s="1951"/>
    </row>
    <row r="386" spans="1:32" ht="15.75" thickBot="1" x14ac:dyDescent="0.3">
      <c r="A386" s="101">
        <v>144</v>
      </c>
      <c r="B386" s="2697" t="s">
        <v>299</v>
      </c>
      <c r="C386" s="2698"/>
      <c r="D386" s="2698"/>
      <c r="E386" s="2699"/>
      <c r="F386" s="674">
        <f>IF(LEFT('Alimentatie 2025-01'!D327,2)="Ja","Zie 145/146",SUM(F369:F385))</f>
        <v>0</v>
      </c>
      <c r="G386" s="674"/>
      <c r="H386" s="675"/>
      <c r="AF386" s="1951"/>
    </row>
    <row r="387" spans="1:32" x14ac:dyDescent="0.25">
      <c r="AF387" s="1951"/>
    </row>
    <row r="388" spans="1:32" ht="21" x14ac:dyDescent="0.25">
      <c r="B388" s="2491" t="s">
        <v>1124</v>
      </c>
      <c r="AF388" s="1951"/>
    </row>
    <row r="389" spans="1:32" x14ac:dyDescent="0.25">
      <c r="AF389" s="1951"/>
    </row>
    <row r="390" spans="1:32" ht="16.5" thickBot="1" x14ac:dyDescent="0.3">
      <c r="B390" s="2191" t="s">
        <v>931</v>
      </c>
      <c r="C390" s="633"/>
      <c r="D390" s="633"/>
      <c r="E390" s="22"/>
      <c r="F390" s="22"/>
      <c r="G390" s="676"/>
      <c r="H390" s="22"/>
      <c r="AF390" s="1951"/>
    </row>
    <row r="391" spans="1:32" ht="15.75" thickBot="1" x14ac:dyDescent="0.3">
      <c r="A391" s="3"/>
      <c r="B391" s="634" t="str">
        <f>BGPartner_AP</f>
        <v>A. Plichtig</v>
      </c>
      <c r="C391" s="633"/>
      <c r="D391" s="633"/>
      <c r="E391" s="22"/>
      <c r="F391" s="22"/>
      <c r="G391" s="22"/>
      <c r="H391" s="22"/>
      <c r="AF391" s="1951"/>
    </row>
    <row r="392" spans="1:32" ht="15.75" thickBot="1" x14ac:dyDescent="0.3">
      <c r="B392" s="920" t="s">
        <v>414</v>
      </c>
      <c r="C392" s="635">
        <f>IF(AL94VerzInkomen_AP&lt;=0,0,AL94VerzInkomen_AP)</f>
        <v>0</v>
      </c>
      <c r="D392" s="636" t="s">
        <v>231</v>
      </c>
      <c r="E392" s="22"/>
      <c r="F392" s="22"/>
      <c r="G392" s="22"/>
      <c r="H392" s="22"/>
      <c r="AF392" s="1951"/>
    </row>
    <row r="393" spans="1:32" ht="15.75" thickBot="1" x14ac:dyDescent="0.3">
      <c r="A393" s="5" t="s">
        <v>225</v>
      </c>
      <c r="B393" s="637" t="s">
        <v>70</v>
      </c>
      <c r="C393" s="638" t="s">
        <v>234</v>
      </c>
      <c r="D393" s="639" t="s">
        <v>230</v>
      </c>
      <c r="E393" s="640" t="s">
        <v>236</v>
      </c>
      <c r="F393" s="641" t="s">
        <v>237</v>
      </c>
      <c r="G393" s="641" t="s">
        <v>188</v>
      </c>
      <c r="H393" s="642" t="s">
        <v>227</v>
      </c>
      <c r="AF393" s="1951"/>
    </row>
    <row r="394" spans="1:32" x14ac:dyDescent="0.25">
      <c r="A394" s="56">
        <v>1</v>
      </c>
      <c r="B394" s="643" t="s">
        <v>233</v>
      </c>
      <c r="C394" s="644"/>
      <c r="D394" s="1020"/>
      <c r="E394" s="645">
        <f>IF('Alimentatie 2025-01'!F$297&lt;=0,0,'Alimentatie 2025-01'!F$297*12)</f>
        <v>0</v>
      </c>
      <c r="F394" s="644"/>
      <c r="G394" s="643" t="s">
        <v>235</v>
      </c>
      <c r="H394" s="646"/>
      <c r="AF394" s="1951"/>
    </row>
    <row r="395" spans="1:32" x14ac:dyDescent="0.25">
      <c r="A395" s="25">
        <v>2</v>
      </c>
      <c r="B395" s="79" t="s">
        <v>228</v>
      </c>
      <c r="C395" s="647">
        <f>$M$16</f>
        <v>38441</v>
      </c>
      <c r="D395" s="1021"/>
      <c r="E395" s="648"/>
      <c r="F395" s="649"/>
      <c r="G395" s="1038" t="str">
        <f>IF(AND(C392&lt;=C395,C392&gt;0),"        Ga door naar:","")</f>
        <v/>
      </c>
      <c r="H395" s="650">
        <v>10</v>
      </c>
      <c r="AF395" s="1951"/>
    </row>
    <row r="396" spans="1:32" ht="15.75" thickBot="1" x14ac:dyDescent="0.3">
      <c r="A396" s="150">
        <v>3</v>
      </c>
      <c r="B396" s="376" t="s">
        <v>229</v>
      </c>
      <c r="C396" s="647">
        <f>$M$17</f>
        <v>76816</v>
      </c>
      <c r="D396" s="1022"/>
      <c r="E396" s="651"/>
      <c r="F396" s="652"/>
      <c r="G396" s="1037" t="str">
        <f>IF(AND(C392&gt;C395,C392&lt;=C396),"        Ga door naar:","")</f>
        <v/>
      </c>
      <c r="H396" s="653">
        <v>7</v>
      </c>
      <c r="AF396" s="1951"/>
    </row>
    <row r="397" spans="1:32" x14ac:dyDescent="0.25">
      <c r="A397" s="56">
        <v>4</v>
      </c>
      <c r="B397" s="929" t="str">
        <f>CONCATENATE("Bereken [(BI) - € ",C396,"] x ",D397)</f>
        <v>Bereken [(BI) - € 76816] x 0,6252</v>
      </c>
      <c r="C397" s="654"/>
      <c r="D397" s="1315">
        <f>D$349</f>
        <v>0.62519999999999998</v>
      </c>
      <c r="E397" s="587" t="str">
        <f>IF(C392&gt;C396,(C392-C396)*D397,"n.v.t")</f>
        <v>n.v.t</v>
      </c>
      <c r="F397" s="654"/>
      <c r="G397" s="655" t="s">
        <v>232</v>
      </c>
      <c r="H397" s="656"/>
      <c r="AF397" s="1951"/>
    </row>
    <row r="398" spans="1:32" x14ac:dyDescent="0.25">
      <c r="A398" s="25">
        <v>5</v>
      </c>
      <c r="B398" s="79" t="str">
        <f>CONCATENATE("Is (P) groter dan (NA)? Bereken dan (NA) x ",D398)</f>
        <v>Is (P) groter dan (NA)? Bereken dan (NA) x 1,5995</v>
      </c>
      <c r="C398" s="648"/>
      <c r="D398" s="1316">
        <f>D$350</f>
        <v>1.5994999999999999</v>
      </c>
      <c r="E398" s="648"/>
      <c r="F398" s="661" t="str">
        <f>IF(C392&gt;C396,IF(E397&gt;E394,E394*D398,"Kleiner"),"n.v.t")</f>
        <v>n.v.t</v>
      </c>
      <c r="G398" s="1036" t="str">
        <f>IF(OR(F398="Kleiner",F398="n.v.t"),"+","+     Ga door naar:")</f>
        <v>+</v>
      </c>
      <c r="H398" s="658">
        <v>11</v>
      </c>
      <c r="AF398" s="1951"/>
    </row>
    <row r="399" spans="1:32" x14ac:dyDescent="0.25">
      <c r="A399" s="25">
        <v>6</v>
      </c>
      <c r="B399" s="79" t="str">
        <f>CONCATENATE("Is (P) kleiner dan (NA)? Bereken (P) x ",D398)</f>
        <v>Is (P) kleiner dan (NA)? Bereken (P) x 1,5995</v>
      </c>
      <c r="C399" s="648"/>
      <c r="D399" s="1021"/>
      <c r="E399" s="648"/>
      <c r="F399" s="661" t="str">
        <f>IF(F398="Kleiner",E397*D398,"n.v.t")</f>
        <v>n.v.t</v>
      </c>
      <c r="G399" s="657" t="s">
        <v>73</v>
      </c>
      <c r="H399" s="650"/>
      <c r="AF399" s="1951"/>
    </row>
    <row r="400" spans="1:32" x14ac:dyDescent="0.25">
      <c r="A400" s="25"/>
      <c r="B400" s="659" t="s">
        <v>238</v>
      </c>
      <c r="C400" s="660"/>
      <c r="D400" s="1023"/>
      <c r="E400" s="661" t="str">
        <f>IF(OR(C392&gt;C396,LEFT(F398,7)="Kleiner"),E394-E397,"n.v.t")</f>
        <v>n.v.t</v>
      </c>
      <c r="F400" s="662"/>
      <c r="G400" s="660" t="s">
        <v>235</v>
      </c>
      <c r="H400" s="663"/>
      <c r="AF400" s="1951"/>
    </row>
    <row r="401" spans="1:32" x14ac:dyDescent="0.25">
      <c r="A401" s="25"/>
      <c r="B401" s="771" t="s">
        <v>239</v>
      </c>
      <c r="C401" s="648"/>
      <c r="D401" s="1021"/>
      <c r="E401" s="649"/>
      <c r="F401" s="649"/>
      <c r="G401" s="648"/>
      <c r="H401" s="650"/>
      <c r="AF401" s="1951"/>
    </row>
    <row r="402" spans="1:32" ht="18" thickBot="1" x14ac:dyDescent="0.3">
      <c r="A402" s="27"/>
      <c r="B402" s="772" t="str">
        <f>CONCATENATE("(BI) stellen we nu op € ",C396)</f>
        <v>(BI) stellen we nu op € 76816</v>
      </c>
      <c r="C402" s="666" t="s">
        <v>240</v>
      </c>
      <c r="D402" s="1024"/>
      <c r="E402" s="667"/>
      <c r="F402" s="667"/>
      <c r="G402" s="667"/>
      <c r="H402" s="668"/>
      <c r="AF402" s="1951"/>
    </row>
    <row r="403" spans="1:32" x14ac:dyDescent="0.25">
      <c r="A403" s="56">
        <v>7</v>
      </c>
      <c r="B403" s="929" t="str">
        <f>CONCATENATE("Bereken [(BI) - € ",C395,"] x ",D403)</f>
        <v>Bereken [(BI) - € 38441] x 0,6252</v>
      </c>
      <c r="C403" s="645">
        <f>IF(F398="n.v.t",0,IF(LEFT(F398,7)="Kleiner",C396,0))</f>
        <v>0</v>
      </c>
      <c r="D403" s="1315">
        <f>D$372</f>
        <v>0.62519999999999998</v>
      </c>
      <c r="E403" s="587" t="str">
        <f>IF(C403=C396,(C396-C395)*D403,IF(AND(C392&lt;=C396,C392&gt;C395),(C392-C395)*D403,"n.v.t"))</f>
        <v>n.v.t</v>
      </c>
      <c r="F403" s="669"/>
      <c r="G403" s="654" t="s">
        <v>232</v>
      </c>
      <c r="H403" s="656"/>
      <c r="AF403" s="1951"/>
    </row>
    <row r="404" spans="1:32" x14ac:dyDescent="0.25">
      <c r="A404" s="25">
        <v>8</v>
      </c>
      <c r="B404" s="79" t="str">
        <f>CONCATENATE("Is (P) groter dan (NA)? Bereken dan (NA) x ",D404)</f>
        <v>Is (P) groter dan (NA)? Bereken dan (NA) x 1,5995</v>
      </c>
      <c r="C404" s="648"/>
      <c r="D404" s="1316">
        <f>D$373</f>
        <v>1.5994999999999999</v>
      </c>
      <c r="E404" s="649"/>
      <c r="F404" s="661" t="str">
        <f>IF(ISNUMBER(F398),0,IF(C392&lt;=C395,"n.v.t",IF(AND(C403=C396,E403&gt;E400),E400*D404,IF(AND(C403=0,E403&gt;E394),E394*D404,"Kleiner"))))</f>
        <v>n.v.t</v>
      </c>
      <c r="G404" s="1036" t="str">
        <f>IF(OR(F404="Kleiner",F404="n.v.t"),"+","+     Ga door naar:")</f>
        <v>+</v>
      </c>
      <c r="H404" s="650">
        <v>11</v>
      </c>
      <c r="AF404" s="1951"/>
    </row>
    <row r="405" spans="1:32" x14ac:dyDescent="0.25">
      <c r="A405" s="25">
        <v>9</v>
      </c>
      <c r="B405" s="79" t="str">
        <f>CONCATENATE("Is (P) kleiner dan (NA)? Bereken (P) x ",D404)</f>
        <v>Is (P) kleiner dan (NA)? Bereken (P) x 1,5995</v>
      </c>
      <c r="C405" s="632"/>
      <c r="D405" s="1025"/>
      <c r="E405" s="648"/>
      <c r="F405" s="661" t="str">
        <f>IF(F404="Kleiner",E403*D404,"n.v.t")</f>
        <v>n.v.t</v>
      </c>
      <c r="G405" s="657" t="s">
        <v>73</v>
      </c>
      <c r="H405" s="650"/>
      <c r="AF405" s="1951"/>
    </row>
    <row r="406" spans="1:32" x14ac:dyDescent="0.25">
      <c r="A406" s="25"/>
      <c r="B406" s="659" t="s">
        <v>238</v>
      </c>
      <c r="C406" s="660"/>
      <c r="D406" s="1023"/>
      <c r="E406" s="661" t="str">
        <f>IF(AND(C403=C396,F404="Kleiner"),(E400-E403),IF(AND(C392&lt;=C396,C392&gt;C395,F404="Kleiner"),E394-E403,"n.v.t"))</f>
        <v>n.v.t</v>
      </c>
      <c r="F406" s="662"/>
      <c r="G406" s="660" t="s">
        <v>235</v>
      </c>
      <c r="H406" s="663"/>
      <c r="AF406" s="1951"/>
    </row>
    <row r="407" spans="1:32" ht="15.75" thickBot="1" x14ac:dyDescent="0.3">
      <c r="A407" s="25"/>
      <c r="B407" s="771" t="s">
        <v>226</v>
      </c>
      <c r="C407" s="648"/>
      <c r="D407" s="1021"/>
      <c r="E407" s="649"/>
      <c r="F407" s="649"/>
      <c r="G407" s="648"/>
      <c r="H407" s="650"/>
      <c r="AF407" s="1951"/>
    </row>
    <row r="408" spans="1:32" x14ac:dyDescent="0.25">
      <c r="A408" s="56">
        <v>10</v>
      </c>
      <c r="B408" s="929" t="str">
        <f>CONCATENATE("Bereken (NA) x ",D408)</f>
        <v>Bereken (NA) x 1,5581</v>
      </c>
      <c r="C408" s="654"/>
      <c r="D408" s="1315">
        <f>D$360</f>
        <v>1.5581</v>
      </c>
      <c r="E408" s="669"/>
      <c r="F408" s="587">
        <f>IF(BGAOWLeeftijdBereikt_AP="Nee",IF(C392&lt;=C395,E394*D408,IF(E406="n.v.t","n.v.t",E406*D408)),IF(C392&lt;=C395,E394*D410,IF(E406="n.v.t","n.v.t",E406*D410)))</f>
        <v>0</v>
      </c>
      <c r="G408" s="654"/>
      <c r="H408" s="656"/>
      <c r="AF408" s="1951"/>
    </row>
    <row r="409" spans="1:32" x14ac:dyDescent="0.25">
      <c r="A409" s="25"/>
      <c r="B409" s="670" t="s">
        <v>902</v>
      </c>
      <c r="C409" s="648"/>
      <c r="D409" s="1021"/>
      <c r="E409" s="649"/>
      <c r="F409" s="648"/>
      <c r="G409" s="648"/>
      <c r="H409" s="650"/>
      <c r="AF409" s="1951"/>
    </row>
    <row r="410" spans="1:32" ht="15.75" thickBot="1" x14ac:dyDescent="0.3">
      <c r="A410" s="27"/>
      <c r="B410" s="295" t="str">
        <f>CONCATENATE("Bereken (NA) x ",D410)</f>
        <v>Bereken (NA) x 1,2183</v>
      </c>
      <c r="C410" s="671"/>
      <c r="D410" s="1317">
        <f>D$362</f>
        <v>1.2182999999999999</v>
      </c>
      <c r="E410" s="671"/>
      <c r="F410" s="671"/>
      <c r="G410" s="671"/>
      <c r="H410" s="672"/>
      <c r="AF410" s="1951"/>
    </row>
    <row r="411" spans="1:32" ht="15.75" thickBot="1" x14ac:dyDescent="0.3">
      <c r="A411" s="101">
        <v>144</v>
      </c>
      <c r="B411" s="2697" t="s">
        <v>299</v>
      </c>
      <c r="C411" s="2698"/>
      <c r="D411" s="2698"/>
      <c r="E411" s="2699"/>
      <c r="F411" s="674">
        <f>IF(LEFT('Alimentatie 2025-01'!D352,2)="Ja","Zie 145/146",SUM(F394:F410))</f>
        <v>0</v>
      </c>
      <c r="G411" s="674"/>
      <c r="H411" s="675"/>
      <c r="AF411" s="1951"/>
    </row>
    <row r="412" spans="1:32" x14ac:dyDescent="0.25">
      <c r="AF412" s="1951"/>
    </row>
    <row r="413" spans="1:32" ht="16.5" thickBot="1" x14ac:dyDescent="0.3">
      <c r="B413" s="2191" t="s">
        <v>931</v>
      </c>
      <c r="C413" s="633"/>
      <c r="D413" s="633"/>
      <c r="E413" s="22"/>
      <c r="F413" s="22"/>
      <c r="G413" s="676"/>
      <c r="H413" s="22"/>
      <c r="AF413" s="1951"/>
    </row>
    <row r="414" spans="1:32" ht="15.75" thickBot="1" x14ac:dyDescent="0.3">
      <c r="A414" s="3">
        <v>144</v>
      </c>
      <c r="B414" s="634" t="str">
        <f>BGPartner_AG</f>
        <v>A. Gerechtigd</v>
      </c>
      <c r="C414" s="633"/>
      <c r="D414" s="633"/>
      <c r="E414" s="22"/>
      <c r="F414" s="22"/>
      <c r="G414" s="22"/>
      <c r="H414" s="22"/>
      <c r="AF414" s="1951"/>
    </row>
    <row r="415" spans="1:32" ht="15.75" thickBot="1" x14ac:dyDescent="0.3">
      <c r="B415" s="920" t="s">
        <v>414</v>
      </c>
      <c r="C415" s="635">
        <f>IF(AL94VerzInkomen_AG&lt;=0,0,AL94VerzInkomen_AG)</f>
        <v>0</v>
      </c>
      <c r="D415" s="636" t="s">
        <v>231</v>
      </c>
      <c r="E415" s="22"/>
      <c r="F415" s="22"/>
      <c r="G415" s="22"/>
      <c r="H415" s="22"/>
      <c r="AF415" s="1951"/>
    </row>
    <row r="416" spans="1:32" ht="15.75" thickBot="1" x14ac:dyDescent="0.3">
      <c r="A416" s="5" t="s">
        <v>225</v>
      </c>
      <c r="B416" s="637" t="s">
        <v>70</v>
      </c>
      <c r="C416" s="638" t="s">
        <v>234</v>
      </c>
      <c r="D416" s="639" t="s">
        <v>230</v>
      </c>
      <c r="E416" s="640" t="s">
        <v>236</v>
      </c>
      <c r="F416" s="641" t="s">
        <v>237</v>
      </c>
      <c r="G416" s="641" t="s">
        <v>188</v>
      </c>
      <c r="H416" s="642" t="s">
        <v>227</v>
      </c>
      <c r="AF416" s="1951"/>
    </row>
    <row r="417" spans="1:32" x14ac:dyDescent="0.25">
      <c r="A417" s="56">
        <v>1</v>
      </c>
      <c r="B417" s="643" t="s">
        <v>233</v>
      </c>
      <c r="C417" s="644"/>
      <c r="D417" s="1020"/>
      <c r="E417" s="645">
        <f>IF('Alimentatie 2025-01'!I$297&lt;=0,0,'Alimentatie 2025-01'!I$297*12)</f>
        <v>0</v>
      </c>
      <c r="F417" s="644"/>
      <c r="G417" s="643" t="s">
        <v>235</v>
      </c>
      <c r="H417" s="646"/>
      <c r="AF417" s="1951"/>
    </row>
    <row r="418" spans="1:32" x14ac:dyDescent="0.25">
      <c r="A418" s="25">
        <v>2</v>
      </c>
      <c r="B418" s="79" t="s">
        <v>228</v>
      </c>
      <c r="C418" s="647">
        <f>$M$16</f>
        <v>38441</v>
      </c>
      <c r="D418" s="1021"/>
      <c r="E418" s="648"/>
      <c r="F418" s="649"/>
      <c r="G418" s="1038" t="str">
        <f>IF(AND(C415&lt;=C418,C415&gt;0),"        Ga door naar:","")</f>
        <v/>
      </c>
      <c r="H418" s="650">
        <v>10</v>
      </c>
      <c r="AF418" s="1951"/>
    </row>
    <row r="419" spans="1:32" ht="15.75" thickBot="1" x14ac:dyDescent="0.3">
      <c r="A419" s="150">
        <v>3</v>
      </c>
      <c r="B419" s="376" t="s">
        <v>229</v>
      </c>
      <c r="C419" s="647">
        <f>$M$17</f>
        <v>76816</v>
      </c>
      <c r="D419" s="1022"/>
      <c r="E419" s="651"/>
      <c r="F419" s="652"/>
      <c r="G419" s="1037" t="str">
        <f>IF(AND(C415&gt;C418,C415&lt;=C419),"        Ga door naar:","")</f>
        <v/>
      </c>
      <c r="H419" s="653">
        <v>7</v>
      </c>
      <c r="AF419" s="1951"/>
    </row>
    <row r="420" spans="1:32" x14ac:dyDescent="0.25">
      <c r="A420" s="56">
        <v>4</v>
      </c>
      <c r="B420" s="929" t="str">
        <f>CONCATENATE("Bereken [(BI) - € ",C419,"] x ",D420)</f>
        <v>Bereken [(BI) - € 76816] x 0,6252</v>
      </c>
      <c r="C420" s="654"/>
      <c r="D420" s="1315">
        <f>D$349</f>
        <v>0.62519999999999998</v>
      </c>
      <c r="E420" s="587" t="str">
        <f>IF(C415&gt;C419,(C415-C419)*D420,"n.v.t")</f>
        <v>n.v.t</v>
      </c>
      <c r="F420" s="654"/>
      <c r="G420" s="655" t="s">
        <v>232</v>
      </c>
      <c r="H420" s="656"/>
      <c r="AF420" s="1951"/>
    </row>
    <row r="421" spans="1:32" x14ac:dyDescent="0.25">
      <c r="A421" s="25">
        <v>5</v>
      </c>
      <c r="B421" s="79" t="str">
        <f>CONCATENATE("Is (P) groter dan (NA)? Bereken dan (NA) x ",D421)</f>
        <v>Is (P) groter dan (NA)? Bereken dan (NA) x 1,5995</v>
      </c>
      <c r="C421" s="648"/>
      <c r="D421" s="1316">
        <f>D$350</f>
        <v>1.5994999999999999</v>
      </c>
      <c r="E421" s="648"/>
      <c r="F421" s="661" t="str">
        <f>IF(C415&gt;C419,IF(E420&gt;E417,E417*D421,"Kleiner"),"n.v.t")</f>
        <v>n.v.t</v>
      </c>
      <c r="G421" s="1036" t="str">
        <f>IF(OR(F421="Kleiner",F421="n.v.t"),"+","+     Ga door naar:")</f>
        <v>+</v>
      </c>
      <c r="H421" s="658">
        <v>11</v>
      </c>
      <c r="AF421" s="1951"/>
    </row>
    <row r="422" spans="1:32" x14ac:dyDescent="0.25">
      <c r="A422" s="25">
        <v>6</v>
      </c>
      <c r="B422" s="79" t="str">
        <f>CONCATENATE("Is (P) kleiner dan (NA)? Bereken (P) x ",D421)</f>
        <v>Is (P) kleiner dan (NA)? Bereken (P) x 1,5995</v>
      </c>
      <c r="C422" s="648"/>
      <c r="D422" s="1021"/>
      <c r="E422" s="648"/>
      <c r="F422" s="661" t="str">
        <f>IF(F421="Kleiner",E420*D421,"n.v.t")</f>
        <v>n.v.t</v>
      </c>
      <c r="G422" s="657" t="s">
        <v>73</v>
      </c>
      <c r="H422" s="650"/>
      <c r="AF422" s="1951"/>
    </row>
    <row r="423" spans="1:32" x14ac:dyDescent="0.25">
      <c r="A423" s="25"/>
      <c r="B423" s="659" t="s">
        <v>238</v>
      </c>
      <c r="C423" s="660"/>
      <c r="D423" s="1023"/>
      <c r="E423" s="661" t="str">
        <f>IF(OR(C415&gt;C419,LEFT(F421,7)="Kleiner"),E417-E420,"n.v.t")</f>
        <v>n.v.t</v>
      </c>
      <c r="F423" s="662"/>
      <c r="G423" s="660" t="s">
        <v>235</v>
      </c>
      <c r="H423" s="663"/>
      <c r="AF423" s="1951"/>
    </row>
    <row r="424" spans="1:32" x14ac:dyDescent="0.25">
      <c r="A424" s="25"/>
      <c r="B424" s="771" t="s">
        <v>239</v>
      </c>
      <c r="C424" s="648"/>
      <c r="D424" s="1021"/>
      <c r="E424" s="649"/>
      <c r="F424" s="649"/>
      <c r="G424" s="648"/>
      <c r="H424" s="650"/>
      <c r="AF424" s="1951"/>
    </row>
    <row r="425" spans="1:32" ht="18" thickBot="1" x14ac:dyDescent="0.3">
      <c r="A425" s="27"/>
      <c r="B425" s="772" t="str">
        <f>CONCATENATE("(BI) stellen we nu op € ",C419)</f>
        <v>(BI) stellen we nu op € 76816</v>
      </c>
      <c r="C425" s="666" t="s">
        <v>240</v>
      </c>
      <c r="D425" s="1024"/>
      <c r="E425" s="667"/>
      <c r="F425" s="667"/>
      <c r="G425" s="667"/>
      <c r="H425" s="668"/>
      <c r="AF425" s="1951"/>
    </row>
    <row r="426" spans="1:32" x14ac:dyDescent="0.25">
      <c r="A426" s="56">
        <v>7</v>
      </c>
      <c r="B426" s="929" t="str">
        <f>CONCATENATE("Bereken [(BI) - € ",C418,"] x ",D426)</f>
        <v>Bereken [(BI) - € 38441] x 0,6252</v>
      </c>
      <c r="C426" s="645">
        <f>IF(F421="n.v.t",0,IF(LEFT(F421,7)="Kleiner",C419,0))</f>
        <v>0</v>
      </c>
      <c r="D426" s="1315">
        <f>D$372</f>
        <v>0.62519999999999998</v>
      </c>
      <c r="E426" s="587" t="str">
        <f>IF(C426=C419,(C419-C418)*D426,IF(AND(C415&lt;=C419,C415&gt;C418),(C415-C418)*D426,"n.v.t"))</f>
        <v>n.v.t</v>
      </c>
      <c r="F426" s="669"/>
      <c r="G426" s="654" t="s">
        <v>232</v>
      </c>
      <c r="H426" s="656"/>
      <c r="AF426" s="1951"/>
    </row>
    <row r="427" spans="1:32" x14ac:dyDescent="0.25">
      <c r="A427" s="25">
        <v>8</v>
      </c>
      <c r="B427" s="79" t="str">
        <f>CONCATENATE("Is (P) groter dan (NA)? Bereken dan (NA) x ",D427)</f>
        <v>Is (P) groter dan (NA)? Bereken dan (NA) x 1,5995</v>
      </c>
      <c r="C427" s="648"/>
      <c r="D427" s="1316">
        <f>D$373</f>
        <v>1.5994999999999999</v>
      </c>
      <c r="E427" s="649"/>
      <c r="F427" s="2565" t="str">
        <f>IF(ISNUMBER(F421),0,IF(C415&lt;=C418,"n.v.t",IF(AND(C426=C419,E426&gt;E423),E423*D427,IF(AND(C426=0,E426&gt;E417),E417*D427,"Kleiner"))))</f>
        <v>n.v.t</v>
      </c>
      <c r="G427" s="1036" t="str">
        <f>IF(OR(F427="Kleiner",F427="n.v.t"),"+","+     Ga door naar:")</f>
        <v>+</v>
      </c>
      <c r="H427" s="650">
        <v>11</v>
      </c>
      <c r="AF427" s="1951"/>
    </row>
    <row r="428" spans="1:32" x14ac:dyDescent="0.25">
      <c r="A428" s="25">
        <v>9</v>
      </c>
      <c r="B428" s="79" t="str">
        <f>CONCATENATE("Is (P) kleiner dan (NA)? Bereken (P) x ",D427)</f>
        <v>Is (P) kleiner dan (NA)? Bereken (P) x 1,5995</v>
      </c>
      <c r="C428" s="632"/>
      <c r="D428" s="1025"/>
      <c r="E428" s="648"/>
      <c r="F428" s="661" t="str">
        <f>IF(F427="Kleiner",E426*D427,"n.v.t")</f>
        <v>n.v.t</v>
      </c>
      <c r="G428" s="657" t="s">
        <v>73</v>
      </c>
      <c r="H428" s="650"/>
      <c r="AF428" s="1951"/>
    </row>
    <row r="429" spans="1:32" x14ac:dyDescent="0.25">
      <c r="A429" s="25"/>
      <c r="B429" s="659" t="s">
        <v>238</v>
      </c>
      <c r="C429" s="660"/>
      <c r="D429" s="1023"/>
      <c r="E429" s="661" t="str">
        <f>IF(AND(C426=C419,F427="Kleiner"),(E423-E426),IF(AND(C415&lt;=C419,C415&gt;C418,F427="Kleiner"),E417-E426,"n.v.t"))</f>
        <v>n.v.t</v>
      </c>
      <c r="F429" s="662"/>
      <c r="G429" s="660" t="s">
        <v>235</v>
      </c>
      <c r="H429" s="663"/>
      <c r="AF429" s="1951"/>
    </row>
    <row r="430" spans="1:32" ht="15.75" thickBot="1" x14ac:dyDescent="0.3">
      <c r="A430" s="25"/>
      <c r="B430" s="771" t="s">
        <v>226</v>
      </c>
      <c r="C430" s="648"/>
      <c r="D430" s="1021"/>
      <c r="E430" s="649"/>
      <c r="F430" s="649"/>
      <c r="G430" s="648"/>
      <c r="H430" s="650"/>
      <c r="AF430" s="1951"/>
    </row>
    <row r="431" spans="1:32" x14ac:dyDescent="0.25">
      <c r="A431" s="56">
        <v>10</v>
      </c>
      <c r="B431" s="929" t="str">
        <f>CONCATENATE("Bereken (NA) x ",D431)</f>
        <v>Bereken (NA) x 1,5581</v>
      </c>
      <c r="C431" s="654"/>
      <c r="D431" s="1315">
        <f>D$360</f>
        <v>1.5581</v>
      </c>
      <c r="E431" s="669"/>
      <c r="F431" s="587">
        <f>IF(BGAOWLeeftijdBereikt_AP="Nee",IF(C415&lt;=C418,E417*D431,IF(E429="n.v.t","n.v.t",E429*D431)),IF(C415&lt;=C418,E417*D433,IF(E429="n.v.t","n.v.t",E429*D433)))</f>
        <v>0</v>
      </c>
      <c r="G431" s="654"/>
      <c r="H431" s="656"/>
      <c r="AF431" s="1951"/>
    </row>
    <row r="432" spans="1:32" x14ac:dyDescent="0.25">
      <c r="A432" s="25"/>
      <c r="B432" s="670" t="s">
        <v>902</v>
      </c>
      <c r="C432" s="648"/>
      <c r="D432" s="1021"/>
      <c r="E432" s="649"/>
      <c r="F432" s="648"/>
      <c r="G432" s="648"/>
      <c r="H432" s="650"/>
      <c r="AF432" s="1951"/>
    </row>
    <row r="433" spans="1:32" ht="15.75" thickBot="1" x14ac:dyDescent="0.3">
      <c r="A433" s="27"/>
      <c r="B433" s="295" t="str">
        <f>CONCATENATE("Bereken (NA) x ",D433)</f>
        <v>Bereken (NA) x 1,2183</v>
      </c>
      <c r="C433" s="671"/>
      <c r="D433" s="1317">
        <f>D$362</f>
        <v>1.2182999999999999</v>
      </c>
      <c r="E433" s="671"/>
      <c r="F433" s="671"/>
      <c r="G433" s="671"/>
      <c r="H433" s="672"/>
      <c r="AF433" s="1951"/>
    </row>
    <row r="434" spans="1:32" ht="15.75" thickBot="1" x14ac:dyDescent="0.3">
      <c r="A434" s="101">
        <v>144</v>
      </c>
      <c r="B434" s="2697" t="s">
        <v>299</v>
      </c>
      <c r="C434" s="2698"/>
      <c r="D434" s="2698"/>
      <c r="E434" s="2699"/>
      <c r="F434" s="674">
        <f>IF(LEFT('Alimentatie 2025-01'!D375,2)="Ja","Zie 145/146",SUM(F417:F433))</f>
        <v>0</v>
      </c>
      <c r="G434" s="674"/>
      <c r="H434" s="675"/>
      <c r="AF434" s="1951"/>
    </row>
    <row r="435" spans="1:32" x14ac:dyDescent="0.25">
      <c r="AF435" s="1951"/>
    </row>
    <row r="436" spans="1:32" x14ac:dyDescent="0.25">
      <c r="AF436" s="1951"/>
    </row>
    <row r="437" spans="1:32" x14ac:dyDescent="0.25">
      <c r="AF437" s="1951"/>
    </row>
    <row r="438" spans="1:32" x14ac:dyDescent="0.25">
      <c r="AF438" s="1951"/>
    </row>
    <row r="439" spans="1:32" x14ac:dyDescent="0.25">
      <c r="AF439" s="1951"/>
    </row>
    <row r="440" spans="1:32" x14ac:dyDescent="0.25">
      <c r="AF440" s="1951"/>
    </row>
    <row r="441" spans="1:32" x14ac:dyDescent="0.25">
      <c r="AF441" s="1951"/>
    </row>
    <row r="442" spans="1:32" x14ac:dyDescent="0.25">
      <c r="AF442" s="1951"/>
    </row>
    <row r="443" spans="1:32" x14ac:dyDescent="0.25">
      <c r="AF443" s="1951"/>
    </row>
    <row r="444" spans="1:32" x14ac:dyDescent="0.25">
      <c r="AF444" s="1951"/>
    </row>
    <row r="445" spans="1:32" x14ac:dyDescent="0.25">
      <c r="AF445" s="1951"/>
    </row>
    <row r="446" spans="1:32" x14ac:dyDescent="0.25">
      <c r="AF446" s="1951"/>
    </row>
    <row r="447" spans="1:32" x14ac:dyDescent="0.25">
      <c r="AF447" s="1951"/>
    </row>
    <row r="448" spans="1:32" x14ac:dyDescent="0.25">
      <c r="AF448" s="1951"/>
    </row>
    <row r="449" spans="32:32" x14ac:dyDescent="0.25">
      <c r="AF449" s="1951"/>
    </row>
    <row r="450" spans="32:32" x14ac:dyDescent="0.25">
      <c r="AF450" s="1951"/>
    </row>
    <row r="451" spans="32:32" x14ac:dyDescent="0.25">
      <c r="AF451" s="1951"/>
    </row>
    <row r="452" spans="32:32" x14ac:dyDescent="0.25">
      <c r="AF452" s="1951"/>
    </row>
    <row r="453" spans="32:32" x14ac:dyDescent="0.25">
      <c r="AF453" s="1951"/>
    </row>
    <row r="454" spans="32:32" x14ac:dyDescent="0.25">
      <c r="AF454" s="1951"/>
    </row>
    <row r="455" spans="32:32" x14ac:dyDescent="0.25">
      <c r="AF455" s="1951"/>
    </row>
    <row r="456" spans="32:32" x14ac:dyDescent="0.25">
      <c r="AF456" s="1951"/>
    </row>
    <row r="457" spans="32:32" x14ac:dyDescent="0.25">
      <c r="AF457" s="1951"/>
    </row>
    <row r="458" spans="32:32" x14ac:dyDescent="0.25">
      <c r="AF458" s="1951"/>
    </row>
    <row r="459" spans="32:32" x14ac:dyDescent="0.25">
      <c r="AF459" s="1951"/>
    </row>
    <row r="460" spans="32:32" x14ac:dyDescent="0.25">
      <c r="AF460" s="1951"/>
    </row>
    <row r="461" spans="32:32" x14ac:dyDescent="0.25">
      <c r="AF461" s="1951"/>
    </row>
    <row r="462" spans="32:32" x14ac:dyDescent="0.25">
      <c r="AF462" s="1951"/>
    </row>
    <row r="463" spans="32:32" x14ac:dyDescent="0.25">
      <c r="AF463" s="1951"/>
    </row>
    <row r="464" spans="32:32" x14ac:dyDescent="0.25">
      <c r="AF464" s="1951"/>
    </row>
    <row r="465" spans="32:32" x14ac:dyDescent="0.25">
      <c r="AF465" s="1951"/>
    </row>
    <row r="466" spans="32:32" x14ac:dyDescent="0.25">
      <c r="AF466" s="1951"/>
    </row>
    <row r="467" spans="32:32" x14ac:dyDescent="0.25">
      <c r="AF467" s="1951"/>
    </row>
    <row r="468" spans="32:32" x14ac:dyDescent="0.25">
      <c r="AF468" s="1951"/>
    </row>
    <row r="469" spans="32:32" x14ac:dyDescent="0.25">
      <c r="AF469" s="1951"/>
    </row>
    <row r="470" spans="32:32" x14ac:dyDescent="0.25">
      <c r="AF470" s="1951"/>
    </row>
    <row r="471" spans="32:32" x14ac:dyDescent="0.25">
      <c r="AF471" s="1951"/>
    </row>
    <row r="472" spans="32:32" x14ac:dyDescent="0.25">
      <c r="AF472" s="1951"/>
    </row>
    <row r="473" spans="32:32" x14ac:dyDescent="0.25">
      <c r="AF473" s="1951"/>
    </row>
    <row r="474" spans="32:32" x14ac:dyDescent="0.25">
      <c r="AF474" s="1951"/>
    </row>
    <row r="475" spans="32:32" x14ac:dyDescent="0.25">
      <c r="AF475" s="1951"/>
    </row>
    <row r="476" spans="32:32" x14ac:dyDescent="0.25">
      <c r="AF476" s="1951"/>
    </row>
    <row r="477" spans="32:32" x14ac:dyDescent="0.25">
      <c r="AF477" s="1951"/>
    </row>
    <row r="478" spans="32:32" x14ac:dyDescent="0.25">
      <c r="AF478" s="1951"/>
    </row>
    <row r="479" spans="32:32" x14ac:dyDescent="0.25">
      <c r="AF479" s="1951"/>
    </row>
    <row r="480" spans="32:32" x14ac:dyDescent="0.25">
      <c r="AF480" s="1951"/>
    </row>
    <row r="481" spans="32:32" x14ac:dyDescent="0.25">
      <c r="AF481" s="1951"/>
    </row>
    <row r="482" spans="32:32" x14ac:dyDescent="0.25">
      <c r="AF482" s="1951"/>
    </row>
    <row r="483" spans="32:32" x14ac:dyDescent="0.25">
      <c r="AF483" s="1951"/>
    </row>
    <row r="484" spans="32:32" x14ac:dyDescent="0.25">
      <c r="AF484" s="1951"/>
    </row>
    <row r="485" spans="32:32" x14ac:dyDescent="0.25">
      <c r="AF485" s="1951"/>
    </row>
    <row r="486" spans="32:32" x14ac:dyDescent="0.25">
      <c r="AF486" s="1951"/>
    </row>
    <row r="487" spans="32:32" x14ac:dyDescent="0.25">
      <c r="AF487" s="1951"/>
    </row>
    <row r="488" spans="32:32" x14ac:dyDescent="0.25">
      <c r="AF488" s="1951"/>
    </row>
    <row r="489" spans="32:32" x14ac:dyDescent="0.25">
      <c r="AF489" s="1951"/>
    </row>
    <row r="490" spans="32:32" x14ac:dyDescent="0.25">
      <c r="AF490" s="1951"/>
    </row>
    <row r="491" spans="32:32" x14ac:dyDescent="0.25">
      <c r="AF491" s="1951"/>
    </row>
    <row r="492" spans="32:32" x14ac:dyDescent="0.25">
      <c r="AF492" s="1951"/>
    </row>
    <row r="493" spans="32:32" x14ac:dyDescent="0.25">
      <c r="AF493" s="1951"/>
    </row>
    <row r="494" spans="32:32" x14ac:dyDescent="0.25">
      <c r="AF494" s="1951"/>
    </row>
    <row r="495" spans="32:32" x14ac:dyDescent="0.25">
      <c r="AF495" s="1951"/>
    </row>
    <row r="496" spans="32:32" x14ac:dyDescent="0.25">
      <c r="AF496" s="1951"/>
    </row>
    <row r="497" spans="32:32" x14ac:dyDescent="0.25">
      <c r="AF497" s="1951"/>
    </row>
    <row r="498" spans="32:32" x14ac:dyDescent="0.25">
      <c r="AF498" s="1951"/>
    </row>
    <row r="499" spans="32:32" x14ac:dyDescent="0.25">
      <c r="AF499" s="1951"/>
    </row>
    <row r="500" spans="32:32" x14ac:dyDescent="0.25">
      <c r="AF500" s="1951"/>
    </row>
    <row r="501" spans="32:32" x14ac:dyDescent="0.25">
      <c r="AF501" s="1951"/>
    </row>
    <row r="502" spans="32:32" x14ac:dyDescent="0.25">
      <c r="AF502" s="1951"/>
    </row>
    <row r="503" spans="32:32" x14ac:dyDescent="0.25">
      <c r="AF503" s="1951"/>
    </row>
    <row r="504" spans="32:32" x14ac:dyDescent="0.25">
      <c r="AF504" s="1951"/>
    </row>
    <row r="505" spans="32:32" x14ac:dyDescent="0.25">
      <c r="AF505" s="1951"/>
    </row>
    <row r="506" spans="32:32" x14ac:dyDescent="0.25">
      <c r="AF506" s="1951"/>
    </row>
    <row r="507" spans="32:32" x14ac:dyDescent="0.25">
      <c r="AF507" s="1951"/>
    </row>
    <row r="508" spans="32:32" x14ac:dyDescent="0.25">
      <c r="AF508" s="1951"/>
    </row>
    <row r="509" spans="32:32" x14ac:dyDescent="0.25">
      <c r="AF509" s="1951"/>
    </row>
    <row r="510" spans="32:32" x14ac:dyDescent="0.25">
      <c r="AF510" s="1951"/>
    </row>
    <row r="511" spans="32:32" x14ac:dyDescent="0.25">
      <c r="AF511" s="1951"/>
    </row>
    <row r="512" spans="32:32" x14ac:dyDescent="0.25">
      <c r="AF512" s="1951"/>
    </row>
    <row r="513" spans="32:32" x14ac:dyDescent="0.25">
      <c r="AF513" s="1951"/>
    </row>
    <row r="514" spans="32:32" x14ac:dyDescent="0.25">
      <c r="AF514" s="1951"/>
    </row>
    <row r="515" spans="32:32" x14ac:dyDescent="0.25">
      <c r="AF515" s="1951"/>
    </row>
    <row r="516" spans="32:32" x14ac:dyDescent="0.25">
      <c r="AF516" s="1951"/>
    </row>
    <row r="517" spans="32:32" x14ac:dyDescent="0.25">
      <c r="AF517" s="1951"/>
    </row>
    <row r="518" spans="32:32" x14ac:dyDescent="0.25">
      <c r="AF518" s="1951"/>
    </row>
    <row r="519" spans="32:32" x14ac:dyDescent="0.25">
      <c r="AF519" s="1951"/>
    </row>
    <row r="520" spans="32:32" x14ac:dyDescent="0.25">
      <c r="AF520" s="1951"/>
    </row>
    <row r="521" spans="32:32" x14ac:dyDescent="0.25">
      <c r="AF521" s="1951"/>
    </row>
    <row r="522" spans="32:32" x14ac:dyDescent="0.25">
      <c r="AF522" s="1951"/>
    </row>
    <row r="523" spans="32:32" x14ac:dyDescent="0.25">
      <c r="AF523" s="1951"/>
    </row>
    <row r="524" spans="32:32" x14ac:dyDescent="0.25">
      <c r="AF524" s="1951"/>
    </row>
    <row r="525" spans="32:32" x14ac:dyDescent="0.25">
      <c r="AF525" s="1951"/>
    </row>
    <row r="526" spans="32:32" x14ac:dyDescent="0.25">
      <c r="AF526" s="1951"/>
    </row>
    <row r="527" spans="32:32" x14ac:dyDescent="0.25">
      <c r="AF527" s="1951"/>
    </row>
    <row r="528" spans="32:32" x14ac:dyDescent="0.25">
      <c r="AF528" s="1951"/>
    </row>
    <row r="529" spans="32:32" x14ac:dyDescent="0.25">
      <c r="AF529" s="1951"/>
    </row>
    <row r="530" spans="32:32" x14ac:dyDescent="0.25">
      <c r="AF530" s="1951"/>
    </row>
    <row r="531" spans="32:32" x14ac:dyDescent="0.25">
      <c r="AF531" s="1951"/>
    </row>
    <row r="532" spans="32:32" x14ac:dyDescent="0.25">
      <c r="AF532" s="1951"/>
    </row>
    <row r="533" spans="32:32" x14ac:dyDescent="0.25">
      <c r="AF533" s="1951"/>
    </row>
    <row r="534" spans="32:32" x14ac:dyDescent="0.25">
      <c r="AF534" s="1951"/>
    </row>
    <row r="535" spans="32:32" x14ac:dyDescent="0.25">
      <c r="AF535" s="1951"/>
    </row>
    <row r="536" spans="32:32" x14ac:dyDescent="0.25">
      <c r="AF536" s="1951"/>
    </row>
    <row r="537" spans="32:32" x14ac:dyDescent="0.25">
      <c r="AF537" s="1951"/>
    </row>
    <row r="538" spans="32:32" x14ac:dyDescent="0.25">
      <c r="AF538" s="1951"/>
    </row>
    <row r="539" spans="32:32" x14ac:dyDescent="0.25">
      <c r="AF539" s="1951"/>
    </row>
    <row r="540" spans="32:32" x14ac:dyDescent="0.25">
      <c r="AF540" s="1951"/>
    </row>
    <row r="541" spans="32:32" x14ac:dyDescent="0.25">
      <c r="AF541" s="1951"/>
    </row>
    <row r="542" spans="32:32" x14ac:dyDescent="0.25">
      <c r="AF542" s="1951"/>
    </row>
    <row r="543" spans="32:32" x14ac:dyDescent="0.25">
      <c r="AF543" s="1951"/>
    </row>
    <row r="544" spans="32:32" x14ac:dyDescent="0.25">
      <c r="AF544" s="1951"/>
    </row>
    <row r="545" spans="32:32" x14ac:dyDescent="0.25">
      <c r="AF545" s="1951"/>
    </row>
    <row r="546" spans="32:32" x14ac:dyDescent="0.25">
      <c r="AF546" s="1951"/>
    </row>
    <row r="547" spans="32:32" x14ac:dyDescent="0.25">
      <c r="AF547" s="1951"/>
    </row>
    <row r="548" spans="32:32" x14ac:dyDescent="0.25">
      <c r="AF548" s="1951"/>
    </row>
    <row r="549" spans="32:32" x14ac:dyDescent="0.25">
      <c r="AF549" s="1951"/>
    </row>
    <row r="550" spans="32:32" x14ac:dyDescent="0.25">
      <c r="AF550" s="1951"/>
    </row>
    <row r="551" spans="32:32" x14ac:dyDescent="0.25">
      <c r="AF551" s="1951"/>
    </row>
    <row r="552" spans="32:32" x14ac:dyDescent="0.25">
      <c r="AF552" s="1951"/>
    </row>
    <row r="553" spans="32:32" x14ac:dyDescent="0.25">
      <c r="AF553" s="1951"/>
    </row>
    <row r="554" spans="32:32" x14ac:dyDescent="0.25">
      <c r="AF554" s="1951"/>
    </row>
    <row r="555" spans="32:32" x14ac:dyDescent="0.25">
      <c r="AF555" s="1951"/>
    </row>
    <row r="556" spans="32:32" x14ac:dyDescent="0.25">
      <c r="AF556" s="1951"/>
    </row>
    <row r="557" spans="32:32" x14ac:dyDescent="0.25">
      <c r="AF557" s="1951"/>
    </row>
    <row r="558" spans="32:32" x14ac:dyDescent="0.25">
      <c r="AF558" s="1951"/>
    </row>
    <row r="559" spans="32:32" x14ac:dyDescent="0.25">
      <c r="AF559" s="1951"/>
    </row>
    <row r="560" spans="32:32" x14ac:dyDescent="0.25">
      <c r="AF560" s="1951"/>
    </row>
    <row r="561" spans="32:32" x14ac:dyDescent="0.25">
      <c r="AF561" s="1951"/>
    </row>
    <row r="562" spans="32:32" x14ac:dyDescent="0.25">
      <c r="AF562" s="1951"/>
    </row>
    <row r="563" spans="32:32" x14ac:dyDescent="0.25">
      <c r="AF563" s="1951"/>
    </row>
    <row r="564" spans="32:32" x14ac:dyDescent="0.25">
      <c r="AF564" s="1951"/>
    </row>
    <row r="565" spans="32:32" x14ac:dyDescent="0.25">
      <c r="AF565" s="1951"/>
    </row>
    <row r="566" spans="32:32" x14ac:dyDescent="0.25">
      <c r="AF566" s="1951"/>
    </row>
    <row r="567" spans="32:32" x14ac:dyDescent="0.25">
      <c r="AF567" s="1951"/>
    </row>
    <row r="568" spans="32:32" x14ac:dyDescent="0.25">
      <c r="AF568" s="1951"/>
    </row>
    <row r="569" spans="32:32" x14ac:dyDescent="0.25">
      <c r="AF569" s="1951"/>
    </row>
    <row r="570" spans="32:32" x14ac:dyDescent="0.25">
      <c r="AF570" s="1951"/>
    </row>
    <row r="571" spans="32:32" x14ac:dyDescent="0.25">
      <c r="AF571" s="1951"/>
    </row>
    <row r="572" spans="32:32" x14ac:dyDescent="0.25">
      <c r="AF572" s="1951"/>
    </row>
    <row r="573" spans="32:32" x14ac:dyDescent="0.25">
      <c r="AF573" s="1951"/>
    </row>
    <row r="574" spans="32:32" x14ac:dyDescent="0.25">
      <c r="AF574" s="1951"/>
    </row>
    <row r="575" spans="32:32" x14ac:dyDescent="0.25">
      <c r="AF575" s="1951"/>
    </row>
    <row r="576" spans="32:32" x14ac:dyDescent="0.25">
      <c r="AF576" s="1951"/>
    </row>
    <row r="577" spans="32:32" x14ac:dyDescent="0.25">
      <c r="AF577" s="1951"/>
    </row>
    <row r="578" spans="32:32" x14ac:dyDescent="0.25">
      <c r="AF578" s="1951"/>
    </row>
    <row r="579" spans="32:32" x14ac:dyDescent="0.25">
      <c r="AF579" s="1951"/>
    </row>
    <row r="580" spans="32:32" x14ac:dyDescent="0.25">
      <c r="AF580" s="1951"/>
    </row>
    <row r="581" spans="32:32" x14ac:dyDescent="0.25">
      <c r="AF581" s="1951"/>
    </row>
    <row r="582" spans="32:32" x14ac:dyDescent="0.25">
      <c r="AF582" s="1951"/>
    </row>
    <row r="583" spans="32:32" x14ac:dyDescent="0.25">
      <c r="AF583" s="1951"/>
    </row>
    <row r="584" spans="32:32" x14ac:dyDescent="0.25">
      <c r="AF584" s="1951"/>
    </row>
    <row r="585" spans="32:32" x14ac:dyDescent="0.25">
      <c r="AF585" s="1951"/>
    </row>
    <row r="586" spans="32:32" x14ac:dyDescent="0.25">
      <c r="AF586" s="1951"/>
    </row>
    <row r="587" spans="32:32" x14ac:dyDescent="0.25">
      <c r="AF587" s="1951"/>
    </row>
    <row r="588" spans="32:32" x14ac:dyDescent="0.25">
      <c r="AF588" s="1951"/>
    </row>
    <row r="589" spans="32:32" x14ac:dyDescent="0.25">
      <c r="AF589" s="1951"/>
    </row>
    <row r="590" spans="32:32" x14ac:dyDescent="0.25">
      <c r="AF590" s="1951"/>
    </row>
    <row r="591" spans="32:32" x14ac:dyDescent="0.25">
      <c r="AF591" s="1951"/>
    </row>
    <row r="592" spans="32:32" x14ac:dyDescent="0.25">
      <c r="AF592" s="1951"/>
    </row>
    <row r="593" spans="32:32" x14ac:dyDescent="0.25">
      <c r="AF593" s="1951"/>
    </row>
    <row r="594" spans="32:32" x14ac:dyDescent="0.25">
      <c r="AF594" s="1951"/>
    </row>
    <row r="595" spans="32:32" x14ac:dyDescent="0.25">
      <c r="AF595" s="1951"/>
    </row>
    <row r="596" spans="32:32" x14ac:dyDescent="0.25">
      <c r="AF596" s="1951"/>
    </row>
    <row r="597" spans="32:32" x14ac:dyDescent="0.25">
      <c r="AF597" s="1951"/>
    </row>
    <row r="598" spans="32:32" x14ac:dyDescent="0.25">
      <c r="AF598" s="1951"/>
    </row>
    <row r="599" spans="32:32" x14ac:dyDescent="0.25">
      <c r="AF599" s="1951"/>
    </row>
    <row r="600" spans="32:32" x14ac:dyDescent="0.25">
      <c r="AF600" s="1951"/>
    </row>
    <row r="601" spans="32:32" x14ac:dyDescent="0.25">
      <c r="AF601" s="1951"/>
    </row>
    <row r="602" spans="32:32" x14ac:dyDescent="0.25">
      <c r="AF602" s="1951"/>
    </row>
    <row r="603" spans="32:32" x14ac:dyDescent="0.25">
      <c r="AF603" s="1951"/>
    </row>
    <row r="604" spans="32:32" x14ac:dyDescent="0.25">
      <c r="AF604" s="1951"/>
    </row>
    <row r="605" spans="32:32" x14ac:dyDescent="0.25">
      <c r="AF605" s="1951"/>
    </row>
    <row r="606" spans="32:32" x14ac:dyDescent="0.25">
      <c r="AF606" s="1951"/>
    </row>
    <row r="607" spans="32:32" x14ac:dyDescent="0.25">
      <c r="AF607" s="1951"/>
    </row>
    <row r="608" spans="32:32" x14ac:dyDescent="0.25">
      <c r="AF608" s="1951"/>
    </row>
    <row r="609" spans="32:32" x14ac:dyDescent="0.25">
      <c r="AF609" s="1951"/>
    </row>
    <row r="610" spans="32:32" x14ac:dyDescent="0.25">
      <c r="AF610" s="1951"/>
    </row>
    <row r="611" spans="32:32" x14ac:dyDescent="0.25">
      <c r="AF611" s="1951"/>
    </row>
    <row r="612" spans="32:32" x14ac:dyDescent="0.25">
      <c r="AF612" s="1951"/>
    </row>
    <row r="613" spans="32:32" x14ac:dyDescent="0.25">
      <c r="AF613" s="1951"/>
    </row>
    <row r="614" spans="32:32" x14ac:dyDescent="0.25">
      <c r="AF614" s="1951"/>
    </row>
    <row r="615" spans="32:32" x14ac:dyDescent="0.25">
      <c r="AF615" s="1951"/>
    </row>
    <row r="616" spans="32:32" x14ac:dyDescent="0.25">
      <c r="AF616" s="1951"/>
    </row>
    <row r="617" spans="32:32" x14ac:dyDescent="0.25">
      <c r="AF617" s="1951"/>
    </row>
    <row r="618" spans="32:32" x14ac:dyDescent="0.25">
      <c r="AF618" s="1951"/>
    </row>
    <row r="619" spans="32:32" x14ac:dyDescent="0.25">
      <c r="AF619" s="1951"/>
    </row>
    <row r="620" spans="32:32" x14ac:dyDescent="0.25">
      <c r="AF620" s="1951"/>
    </row>
    <row r="621" spans="32:32" x14ac:dyDescent="0.25">
      <c r="AF621" s="1951"/>
    </row>
    <row r="622" spans="32:32" x14ac:dyDescent="0.25">
      <c r="AF622" s="1951"/>
    </row>
    <row r="623" spans="32:32" x14ac:dyDescent="0.25">
      <c r="AF623" s="1951"/>
    </row>
    <row r="624" spans="32:32" x14ac:dyDescent="0.25">
      <c r="AF624" s="1951"/>
    </row>
    <row r="625" spans="32:32" x14ac:dyDescent="0.25">
      <c r="AF625" s="1951"/>
    </row>
    <row r="626" spans="32:32" x14ac:dyDescent="0.25">
      <c r="AF626" s="1951"/>
    </row>
    <row r="627" spans="32:32" x14ac:dyDescent="0.25">
      <c r="AF627" s="1951"/>
    </row>
    <row r="628" spans="32:32" x14ac:dyDescent="0.25">
      <c r="AF628" s="1951"/>
    </row>
    <row r="629" spans="32:32" x14ac:dyDescent="0.25">
      <c r="AF629" s="1951"/>
    </row>
    <row r="630" spans="32:32" x14ac:dyDescent="0.25">
      <c r="AF630" s="1951"/>
    </row>
    <row r="631" spans="32:32" x14ac:dyDescent="0.25">
      <c r="AF631" s="1951"/>
    </row>
    <row r="632" spans="32:32" x14ac:dyDescent="0.25">
      <c r="AF632" s="1951"/>
    </row>
    <row r="633" spans="32:32" x14ac:dyDescent="0.25">
      <c r="AF633" s="1951"/>
    </row>
    <row r="634" spans="32:32" x14ac:dyDescent="0.25">
      <c r="AF634" s="1951"/>
    </row>
    <row r="635" spans="32:32" x14ac:dyDescent="0.25">
      <c r="AF635" s="1951"/>
    </row>
    <row r="636" spans="32:32" x14ac:dyDescent="0.25">
      <c r="AF636" s="1951"/>
    </row>
    <row r="637" spans="32:32" x14ac:dyDescent="0.25">
      <c r="AF637" s="1951"/>
    </row>
    <row r="638" spans="32:32" x14ac:dyDescent="0.25">
      <c r="AF638" s="1951"/>
    </row>
    <row r="639" spans="32:32" x14ac:dyDescent="0.25">
      <c r="AF639" s="1951"/>
    </row>
    <row r="640" spans="32:32" x14ac:dyDescent="0.25">
      <c r="AF640" s="1951"/>
    </row>
    <row r="641" spans="32:32" x14ac:dyDescent="0.25">
      <c r="AF641" s="1951"/>
    </row>
    <row r="642" spans="32:32" x14ac:dyDescent="0.25">
      <c r="AF642" s="1951"/>
    </row>
    <row r="643" spans="32:32" x14ac:dyDescent="0.25">
      <c r="AF643" s="1951"/>
    </row>
    <row r="644" spans="32:32" x14ac:dyDescent="0.25">
      <c r="AF644" s="1951"/>
    </row>
    <row r="645" spans="32:32" x14ac:dyDescent="0.25">
      <c r="AF645" s="1951"/>
    </row>
    <row r="646" spans="32:32" x14ac:dyDescent="0.25">
      <c r="AF646" s="1951"/>
    </row>
    <row r="647" spans="32:32" x14ac:dyDescent="0.25">
      <c r="AF647" s="1951"/>
    </row>
    <row r="648" spans="32:32" x14ac:dyDescent="0.25">
      <c r="AF648" s="1951"/>
    </row>
    <row r="649" spans="32:32" x14ac:dyDescent="0.25">
      <c r="AF649" s="1951"/>
    </row>
    <row r="650" spans="32:32" x14ac:dyDescent="0.25">
      <c r="AF650" s="1951"/>
    </row>
    <row r="651" spans="32:32" x14ac:dyDescent="0.25">
      <c r="AF651" s="1951"/>
    </row>
    <row r="652" spans="32:32" x14ac:dyDescent="0.25">
      <c r="AF652" s="1951"/>
    </row>
    <row r="653" spans="32:32" x14ac:dyDescent="0.25">
      <c r="AF653" s="1951"/>
    </row>
    <row r="654" spans="32:32" x14ac:dyDescent="0.25">
      <c r="AF654" s="1951"/>
    </row>
    <row r="655" spans="32:32" x14ac:dyDescent="0.25">
      <c r="AF655" s="1951"/>
    </row>
    <row r="656" spans="32:32" x14ac:dyDescent="0.25">
      <c r="AF656" s="1951"/>
    </row>
    <row r="657" spans="32:32" x14ac:dyDescent="0.25">
      <c r="AF657" s="1951"/>
    </row>
    <row r="658" spans="32:32" x14ac:dyDescent="0.25">
      <c r="AF658" s="1951"/>
    </row>
    <row r="659" spans="32:32" x14ac:dyDescent="0.25">
      <c r="AF659" s="1951"/>
    </row>
    <row r="660" spans="32:32" x14ac:dyDescent="0.25">
      <c r="AF660" s="1951"/>
    </row>
    <row r="661" spans="32:32" x14ac:dyDescent="0.25">
      <c r="AF661" s="1951"/>
    </row>
    <row r="662" spans="32:32" x14ac:dyDescent="0.25">
      <c r="AF662" s="1951"/>
    </row>
    <row r="663" spans="32:32" x14ac:dyDescent="0.25">
      <c r="AF663" s="1951"/>
    </row>
    <row r="664" spans="32:32" x14ac:dyDescent="0.25">
      <c r="AF664" s="1951"/>
    </row>
    <row r="665" spans="32:32" x14ac:dyDescent="0.25">
      <c r="AF665" s="1951"/>
    </row>
    <row r="666" spans="32:32" x14ac:dyDescent="0.25">
      <c r="AF666" s="1951"/>
    </row>
    <row r="667" spans="32:32" x14ac:dyDescent="0.25">
      <c r="AF667" s="1951"/>
    </row>
    <row r="668" spans="32:32" x14ac:dyDescent="0.25">
      <c r="AF668" s="1951"/>
    </row>
    <row r="669" spans="32:32" x14ac:dyDescent="0.25">
      <c r="AF669" s="1951"/>
    </row>
    <row r="670" spans="32:32" x14ac:dyDescent="0.25">
      <c r="AF670" s="1951"/>
    </row>
    <row r="671" spans="32:32" x14ac:dyDescent="0.25">
      <c r="AF671" s="1951"/>
    </row>
    <row r="672" spans="32:32" x14ac:dyDescent="0.25">
      <c r="AF672" s="1951"/>
    </row>
    <row r="673" spans="32:32" x14ac:dyDescent="0.25">
      <c r="AF673" s="1951"/>
    </row>
    <row r="674" spans="32:32" x14ac:dyDescent="0.25">
      <c r="AF674" s="1951"/>
    </row>
    <row r="675" spans="32:32" x14ac:dyDescent="0.25">
      <c r="AF675" s="1951"/>
    </row>
    <row r="676" spans="32:32" x14ac:dyDescent="0.25">
      <c r="AF676" s="1951"/>
    </row>
    <row r="677" spans="32:32" x14ac:dyDescent="0.25">
      <c r="AF677" s="1951"/>
    </row>
    <row r="678" spans="32:32" x14ac:dyDescent="0.25">
      <c r="AF678" s="1951"/>
    </row>
    <row r="679" spans="32:32" x14ac:dyDescent="0.25">
      <c r="AF679" s="1951"/>
    </row>
    <row r="680" spans="32:32" x14ac:dyDescent="0.25">
      <c r="AF680" s="1951"/>
    </row>
    <row r="681" spans="32:32" x14ac:dyDescent="0.25">
      <c r="AF681" s="1951"/>
    </row>
    <row r="682" spans="32:32" x14ac:dyDescent="0.25">
      <c r="AF682" s="1951"/>
    </row>
    <row r="683" spans="32:32" x14ac:dyDescent="0.25">
      <c r="AF683" s="1951"/>
    </row>
    <row r="684" spans="32:32" x14ac:dyDescent="0.25">
      <c r="AF684" s="1951"/>
    </row>
    <row r="685" spans="32:32" x14ac:dyDescent="0.25">
      <c r="AF685" s="1951"/>
    </row>
    <row r="686" spans="32:32" x14ac:dyDescent="0.25">
      <c r="AF686" s="1951"/>
    </row>
    <row r="687" spans="32:32" x14ac:dyDescent="0.25">
      <c r="AF687" s="1951"/>
    </row>
    <row r="688" spans="32:32" x14ac:dyDescent="0.25">
      <c r="AF688" s="1951"/>
    </row>
    <row r="689" spans="32:32" x14ac:dyDescent="0.25">
      <c r="AF689" s="1951"/>
    </row>
    <row r="690" spans="32:32" x14ac:dyDescent="0.25">
      <c r="AF690" s="1951"/>
    </row>
    <row r="691" spans="32:32" x14ac:dyDescent="0.25">
      <c r="AF691" s="1951"/>
    </row>
    <row r="692" spans="32:32" x14ac:dyDescent="0.25">
      <c r="AF692" s="1951"/>
    </row>
    <row r="693" spans="32:32" x14ac:dyDescent="0.25">
      <c r="AF693" s="1951"/>
    </row>
    <row r="694" spans="32:32" x14ac:dyDescent="0.25">
      <c r="AF694" s="1951"/>
    </row>
    <row r="695" spans="32:32" x14ac:dyDescent="0.25">
      <c r="AF695" s="1951"/>
    </row>
    <row r="696" spans="32:32" x14ac:dyDescent="0.25">
      <c r="AF696" s="1951"/>
    </row>
    <row r="697" spans="32:32" x14ac:dyDescent="0.25">
      <c r="AF697" s="1951"/>
    </row>
    <row r="698" spans="32:32" x14ac:dyDescent="0.25">
      <c r="AF698" s="1951"/>
    </row>
    <row r="699" spans="32:32" x14ac:dyDescent="0.25">
      <c r="AF699" s="1951"/>
    </row>
    <row r="700" spans="32:32" x14ac:dyDescent="0.25">
      <c r="AF700" s="1951"/>
    </row>
    <row r="701" spans="32:32" x14ac:dyDescent="0.25">
      <c r="AF701" s="1951"/>
    </row>
    <row r="702" spans="32:32" x14ac:dyDescent="0.25">
      <c r="AF702" s="1951"/>
    </row>
    <row r="703" spans="32:32" x14ac:dyDescent="0.25">
      <c r="AF703" s="1951"/>
    </row>
    <row r="704" spans="32:32" x14ac:dyDescent="0.25">
      <c r="AF704" s="1951"/>
    </row>
    <row r="705" spans="32:32" x14ac:dyDescent="0.25">
      <c r="AF705" s="1951"/>
    </row>
    <row r="706" spans="32:32" x14ac:dyDescent="0.25">
      <c r="AF706" s="1951"/>
    </row>
    <row r="707" spans="32:32" x14ac:dyDescent="0.25">
      <c r="AF707" s="1951"/>
    </row>
    <row r="708" spans="32:32" x14ac:dyDescent="0.25">
      <c r="AF708" s="1951"/>
    </row>
    <row r="709" spans="32:32" x14ac:dyDescent="0.25">
      <c r="AF709" s="1951"/>
    </row>
    <row r="710" spans="32:32" x14ac:dyDescent="0.25">
      <c r="AF710" s="1951"/>
    </row>
    <row r="711" spans="32:32" x14ac:dyDescent="0.25">
      <c r="AF711" s="1951"/>
    </row>
    <row r="712" spans="32:32" x14ac:dyDescent="0.25">
      <c r="AF712" s="1951"/>
    </row>
    <row r="713" spans="32:32" x14ac:dyDescent="0.25">
      <c r="AF713" s="1951"/>
    </row>
    <row r="714" spans="32:32" x14ac:dyDescent="0.25">
      <c r="AF714" s="1951"/>
    </row>
    <row r="715" spans="32:32" x14ac:dyDescent="0.25">
      <c r="AF715" s="1951"/>
    </row>
    <row r="716" spans="32:32" x14ac:dyDescent="0.25">
      <c r="AF716" s="1951"/>
    </row>
    <row r="717" spans="32:32" x14ac:dyDescent="0.25">
      <c r="AF717" s="1951"/>
    </row>
    <row r="718" spans="32:32" x14ac:dyDescent="0.25">
      <c r="AF718" s="1951"/>
    </row>
    <row r="719" spans="32:32" x14ac:dyDescent="0.25">
      <c r="AF719" s="1951"/>
    </row>
    <row r="720" spans="32:32" x14ac:dyDescent="0.25">
      <c r="AF720" s="1951"/>
    </row>
    <row r="721" spans="32:32" x14ac:dyDescent="0.25">
      <c r="AF721" s="1951"/>
    </row>
    <row r="722" spans="32:32" x14ac:dyDescent="0.25">
      <c r="AF722" s="1951"/>
    </row>
    <row r="723" spans="32:32" x14ac:dyDescent="0.25">
      <c r="AF723" s="1951"/>
    </row>
    <row r="724" spans="32:32" x14ac:dyDescent="0.25">
      <c r="AF724" s="1951"/>
    </row>
    <row r="725" spans="32:32" x14ac:dyDescent="0.25">
      <c r="AF725" s="1951"/>
    </row>
    <row r="726" spans="32:32" x14ac:dyDescent="0.25">
      <c r="AF726" s="1951"/>
    </row>
    <row r="727" spans="32:32" x14ac:dyDescent="0.25">
      <c r="AF727" s="1951"/>
    </row>
    <row r="728" spans="32:32" x14ac:dyDescent="0.25">
      <c r="AF728" s="1951"/>
    </row>
    <row r="729" spans="32:32" x14ac:dyDescent="0.25">
      <c r="AF729" s="1951"/>
    </row>
    <row r="730" spans="32:32" x14ac:dyDescent="0.25">
      <c r="AF730" s="1951"/>
    </row>
    <row r="731" spans="32:32" x14ac:dyDescent="0.25">
      <c r="AF731" s="1951"/>
    </row>
    <row r="732" spans="32:32" x14ac:dyDescent="0.25">
      <c r="AF732" s="1951"/>
    </row>
    <row r="733" spans="32:32" x14ac:dyDescent="0.25">
      <c r="AF733" s="1951"/>
    </row>
    <row r="734" spans="32:32" x14ac:dyDescent="0.25">
      <c r="AF734" s="1951"/>
    </row>
    <row r="735" spans="32:32" x14ac:dyDescent="0.25">
      <c r="AF735" s="1951"/>
    </row>
    <row r="736" spans="32:32" x14ac:dyDescent="0.25">
      <c r="AF736" s="1951"/>
    </row>
    <row r="737" spans="32:32" x14ac:dyDescent="0.25">
      <c r="AF737" s="1951"/>
    </row>
    <row r="738" spans="32:32" x14ac:dyDescent="0.25">
      <c r="AF738" s="1951"/>
    </row>
    <row r="739" spans="32:32" x14ac:dyDescent="0.25">
      <c r="AF739" s="1951"/>
    </row>
    <row r="740" spans="32:32" x14ac:dyDescent="0.25">
      <c r="AF740" s="1951"/>
    </row>
    <row r="741" spans="32:32" x14ac:dyDescent="0.25">
      <c r="AF741" s="1951"/>
    </row>
    <row r="742" spans="32:32" x14ac:dyDescent="0.25">
      <c r="AF742" s="1951"/>
    </row>
    <row r="743" spans="32:32" x14ac:dyDescent="0.25">
      <c r="AF743" s="1951"/>
    </row>
    <row r="744" spans="32:32" x14ac:dyDescent="0.25">
      <c r="AF744" s="1951"/>
    </row>
    <row r="745" spans="32:32" x14ac:dyDescent="0.25">
      <c r="AF745" s="1951"/>
    </row>
    <row r="746" spans="32:32" x14ac:dyDescent="0.25">
      <c r="AF746" s="1951"/>
    </row>
    <row r="747" spans="32:32" x14ac:dyDescent="0.25">
      <c r="AF747" s="1951"/>
    </row>
    <row r="748" spans="32:32" x14ac:dyDescent="0.25">
      <c r="AF748" s="1951"/>
    </row>
    <row r="749" spans="32:32" x14ac:dyDescent="0.25">
      <c r="AF749" s="1951"/>
    </row>
    <row r="750" spans="32:32" x14ac:dyDescent="0.25">
      <c r="AF750" s="1951"/>
    </row>
    <row r="751" spans="32:32" x14ac:dyDescent="0.25">
      <c r="AF751" s="1951"/>
    </row>
    <row r="752" spans="32:32" x14ac:dyDescent="0.25">
      <c r="AF752" s="1951"/>
    </row>
    <row r="753" spans="32:32" x14ac:dyDescent="0.25">
      <c r="AF753" s="1951"/>
    </row>
    <row r="754" spans="32:32" x14ac:dyDescent="0.25">
      <c r="AF754" s="1951"/>
    </row>
    <row r="755" spans="32:32" x14ac:dyDescent="0.25">
      <c r="AF755" s="1951"/>
    </row>
    <row r="756" spans="32:32" x14ac:dyDescent="0.25">
      <c r="AF756" s="1951"/>
    </row>
    <row r="757" spans="32:32" x14ac:dyDescent="0.25">
      <c r="AF757" s="1951"/>
    </row>
    <row r="758" spans="32:32" x14ac:dyDescent="0.25">
      <c r="AF758" s="1951"/>
    </row>
    <row r="759" spans="32:32" x14ac:dyDescent="0.25">
      <c r="AF759" s="1951"/>
    </row>
    <row r="760" spans="32:32" x14ac:dyDescent="0.25">
      <c r="AF760" s="1951"/>
    </row>
    <row r="761" spans="32:32" x14ac:dyDescent="0.25">
      <c r="AF761" s="1951"/>
    </row>
    <row r="762" spans="32:32" x14ac:dyDescent="0.25">
      <c r="AF762" s="1951"/>
    </row>
    <row r="763" spans="32:32" x14ac:dyDescent="0.25">
      <c r="AF763" s="1951"/>
    </row>
    <row r="764" spans="32:32" x14ac:dyDescent="0.25">
      <c r="AF764" s="1951"/>
    </row>
    <row r="765" spans="32:32" x14ac:dyDescent="0.25">
      <c r="AF765" s="1951"/>
    </row>
    <row r="766" spans="32:32" x14ac:dyDescent="0.25">
      <c r="AF766" s="1951"/>
    </row>
    <row r="767" spans="32:32" x14ac:dyDescent="0.25">
      <c r="AF767" s="1951"/>
    </row>
    <row r="768" spans="32:32" x14ac:dyDescent="0.25">
      <c r="AF768" s="1951"/>
    </row>
    <row r="769" spans="32:32" x14ac:dyDescent="0.25">
      <c r="AF769" s="1951"/>
    </row>
    <row r="770" spans="32:32" x14ac:dyDescent="0.25">
      <c r="AF770" s="1951"/>
    </row>
    <row r="771" spans="32:32" x14ac:dyDescent="0.25">
      <c r="AF771" s="1951"/>
    </row>
    <row r="772" spans="32:32" x14ac:dyDescent="0.25">
      <c r="AF772" s="1951"/>
    </row>
    <row r="773" spans="32:32" x14ac:dyDescent="0.25">
      <c r="AF773" s="1951"/>
    </row>
    <row r="774" spans="32:32" x14ac:dyDescent="0.25">
      <c r="AF774" s="1951"/>
    </row>
    <row r="775" spans="32:32" x14ac:dyDescent="0.25">
      <c r="AF775" s="1951"/>
    </row>
    <row r="776" spans="32:32" x14ac:dyDescent="0.25">
      <c r="AF776" s="1951"/>
    </row>
    <row r="777" spans="32:32" x14ac:dyDescent="0.25">
      <c r="AF777" s="1951"/>
    </row>
    <row r="778" spans="32:32" x14ac:dyDescent="0.25">
      <c r="AF778" s="1951"/>
    </row>
    <row r="779" spans="32:32" x14ac:dyDescent="0.25">
      <c r="AF779" s="1951"/>
    </row>
    <row r="780" spans="32:32" x14ac:dyDescent="0.25">
      <c r="AF780" s="1951"/>
    </row>
    <row r="781" spans="32:32" x14ac:dyDescent="0.25">
      <c r="AF781" s="1951"/>
    </row>
    <row r="782" spans="32:32" x14ac:dyDescent="0.25">
      <c r="AF782" s="1951"/>
    </row>
    <row r="783" spans="32:32" x14ac:dyDescent="0.25">
      <c r="AF783" s="1951"/>
    </row>
    <row r="784" spans="32:32" x14ac:dyDescent="0.25">
      <c r="AF784" s="1951"/>
    </row>
    <row r="785" spans="32:32" x14ac:dyDescent="0.25">
      <c r="AF785" s="1951"/>
    </row>
    <row r="786" spans="32:32" x14ac:dyDescent="0.25">
      <c r="AF786" s="1951"/>
    </row>
    <row r="787" spans="32:32" x14ac:dyDescent="0.25">
      <c r="AF787" s="1951"/>
    </row>
    <row r="788" spans="32:32" x14ac:dyDescent="0.25">
      <c r="AF788" s="1951"/>
    </row>
    <row r="789" spans="32:32" x14ac:dyDescent="0.25">
      <c r="AF789" s="1951"/>
    </row>
    <row r="790" spans="32:32" x14ac:dyDescent="0.25">
      <c r="AF790" s="1951"/>
    </row>
    <row r="791" spans="32:32" x14ac:dyDescent="0.25">
      <c r="AF791" s="1951"/>
    </row>
    <row r="792" spans="32:32" x14ac:dyDescent="0.25">
      <c r="AF792" s="1951"/>
    </row>
    <row r="793" spans="32:32" x14ac:dyDescent="0.25">
      <c r="AF793" s="1951"/>
    </row>
    <row r="794" spans="32:32" x14ac:dyDescent="0.25">
      <c r="AF794" s="1951"/>
    </row>
    <row r="795" spans="32:32" x14ac:dyDescent="0.25">
      <c r="AF795" s="1951"/>
    </row>
    <row r="796" spans="32:32" x14ac:dyDescent="0.25">
      <c r="AF796" s="1951"/>
    </row>
    <row r="797" spans="32:32" x14ac:dyDescent="0.25">
      <c r="AF797" s="1951"/>
    </row>
    <row r="798" spans="32:32" x14ac:dyDescent="0.25">
      <c r="AF798" s="1951"/>
    </row>
    <row r="799" spans="32:32" x14ac:dyDescent="0.25">
      <c r="AF799" s="1951"/>
    </row>
    <row r="800" spans="32:32" x14ac:dyDescent="0.25">
      <c r="AF800" s="1951"/>
    </row>
    <row r="801" spans="32:32" x14ac:dyDescent="0.25">
      <c r="AF801" s="1951"/>
    </row>
    <row r="802" spans="32:32" x14ac:dyDescent="0.25">
      <c r="AF802" s="1951"/>
    </row>
    <row r="803" spans="32:32" x14ac:dyDescent="0.25">
      <c r="AF803" s="1951"/>
    </row>
    <row r="804" spans="32:32" x14ac:dyDescent="0.25">
      <c r="AF804" s="1951"/>
    </row>
    <row r="805" spans="32:32" x14ac:dyDescent="0.25">
      <c r="AF805" s="1951"/>
    </row>
    <row r="806" spans="32:32" x14ac:dyDescent="0.25">
      <c r="AF806" s="1951"/>
    </row>
    <row r="807" spans="32:32" x14ac:dyDescent="0.25">
      <c r="AF807" s="1951"/>
    </row>
    <row r="808" spans="32:32" x14ac:dyDescent="0.25">
      <c r="AF808" s="1951"/>
    </row>
    <row r="809" spans="32:32" x14ac:dyDescent="0.25">
      <c r="AF809" s="1951"/>
    </row>
    <row r="810" spans="32:32" x14ac:dyDescent="0.25">
      <c r="AF810" s="1951"/>
    </row>
    <row r="811" spans="32:32" x14ac:dyDescent="0.25">
      <c r="AF811" s="1951"/>
    </row>
    <row r="812" spans="32:32" x14ac:dyDescent="0.25">
      <c r="AF812" s="1951"/>
    </row>
    <row r="813" spans="32:32" x14ac:dyDescent="0.25">
      <c r="AF813" s="1951"/>
    </row>
    <row r="814" spans="32:32" x14ac:dyDescent="0.25">
      <c r="AF814" s="1951"/>
    </row>
    <row r="815" spans="32:32" x14ac:dyDescent="0.25">
      <c r="AF815" s="1951"/>
    </row>
    <row r="816" spans="32:32" x14ac:dyDescent="0.25">
      <c r="AF816" s="1951"/>
    </row>
    <row r="817" spans="32:32" x14ac:dyDescent="0.25">
      <c r="AF817" s="1951"/>
    </row>
    <row r="818" spans="32:32" x14ac:dyDescent="0.25">
      <c r="AF818" s="1951"/>
    </row>
    <row r="819" spans="32:32" x14ac:dyDescent="0.25">
      <c r="AF819" s="1951"/>
    </row>
    <row r="820" spans="32:32" x14ac:dyDescent="0.25">
      <c r="AF820" s="1951"/>
    </row>
    <row r="821" spans="32:32" x14ac:dyDescent="0.25">
      <c r="AF821" s="1951"/>
    </row>
    <row r="822" spans="32:32" x14ac:dyDescent="0.25">
      <c r="AF822" s="1951"/>
    </row>
    <row r="823" spans="32:32" x14ac:dyDescent="0.25">
      <c r="AF823" s="1951"/>
    </row>
    <row r="824" spans="32:32" x14ac:dyDescent="0.25">
      <c r="AF824" s="1951"/>
    </row>
    <row r="825" spans="32:32" x14ac:dyDescent="0.25">
      <c r="AF825" s="1951"/>
    </row>
    <row r="826" spans="32:32" x14ac:dyDescent="0.25">
      <c r="AF826" s="1951"/>
    </row>
    <row r="827" spans="32:32" x14ac:dyDescent="0.25">
      <c r="AF827" s="1951"/>
    </row>
    <row r="828" spans="32:32" x14ac:dyDescent="0.25">
      <c r="AF828" s="1951"/>
    </row>
    <row r="829" spans="32:32" x14ac:dyDescent="0.25">
      <c r="AF829" s="1951"/>
    </row>
    <row r="830" spans="32:32" x14ac:dyDescent="0.25">
      <c r="AF830" s="1951"/>
    </row>
    <row r="831" spans="32:32" x14ac:dyDescent="0.25">
      <c r="AF831" s="1951"/>
    </row>
    <row r="832" spans="32:32" x14ac:dyDescent="0.25">
      <c r="AF832" s="1951"/>
    </row>
    <row r="833" spans="32:32" x14ac:dyDescent="0.25">
      <c r="AF833" s="1951"/>
    </row>
    <row r="834" spans="32:32" x14ac:dyDescent="0.25">
      <c r="AF834" s="1951"/>
    </row>
    <row r="835" spans="32:32" x14ac:dyDescent="0.25">
      <c r="AF835" s="1951"/>
    </row>
    <row r="836" spans="32:32" x14ac:dyDescent="0.25">
      <c r="AF836" s="1951"/>
    </row>
    <row r="837" spans="32:32" x14ac:dyDescent="0.25">
      <c r="AF837" s="1951"/>
    </row>
    <row r="838" spans="32:32" x14ac:dyDescent="0.25">
      <c r="AF838" s="1951"/>
    </row>
    <row r="839" spans="32:32" x14ac:dyDescent="0.25">
      <c r="AF839" s="1951"/>
    </row>
    <row r="840" spans="32:32" x14ac:dyDescent="0.25">
      <c r="AF840" s="1951"/>
    </row>
    <row r="841" spans="32:32" x14ac:dyDescent="0.25">
      <c r="AF841" s="1951"/>
    </row>
    <row r="842" spans="32:32" x14ac:dyDescent="0.25">
      <c r="AF842" s="1951"/>
    </row>
    <row r="843" spans="32:32" x14ac:dyDescent="0.25">
      <c r="AF843" s="1951"/>
    </row>
    <row r="844" spans="32:32" x14ac:dyDescent="0.25">
      <c r="AF844" s="1951"/>
    </row>
    <row r="845" spans="32:32" x14ac:dyDescent="0.25">
      <c r="AF845" s="1951"/>
    </row>
    <row r="846" spans="32:32" x14ac:dyDescent="0.25">
      <c r="AF846" s="1951"/>
    </row>
    <row r="847" spans="32:32" x14ac:dyDescent="0.25">
      <c r="AF847" s="1951"/>
    </row>
    <row r="848" spans="32:32" x14ac:dyDescent="0.25">
      <c r="AF848" s="1951"/>
    </row>
    <row r="849" spans="32:32" x14ac:dyDescent="0.25">
      <c r="AF849" s="1951"/>
    </row>
    <row r="850" spans="32:32" x14ac:dyDescent="0.25">
      <c r="AF850" s="1951"/>
    </row>
    <row r="851" spans="32:32" x14ac:dyDescent="0.25">
      <c r="AF851" s="1951"/>
    </row>
    <row r="852" spans="32:32" x14ac:dyDescent="0.25">
      <c r="AF852" s="1951"/>
    </row>
    <row r="853" spans="32:32" x14ac:dyDescent="0.25">
      <c r="AF853" s="1951"/>
    </row>
    <row r="854" spans="32:32" x14ac:dyDescent="0.25">
      <c r="AF854" s="1951"/>
    </row>
    <row r="855" spans="32:32" x14ac:dyDescent="0.25">
      <c r="AF855" s="1951"/>
    </row>
    <row r="856" spans="32:32" x14ac:dyDescent="0.25">
      <c r="AF856" s="1951"/>
    </row>
    <row r="857" spans="32:32" x14ac:dyDescent="0.25">
      <c r="AF857" s="1951"/>
    </row>
    <row r="858" spans="32:32" x14ac:dyDescent="0.25">
      <c r="AF858" s="1951"/>
    </row>
    <row r="859" spans="32:32" x14ac:dyDescent="0.25">
      <c r="AF859" s="1951"/>
    </row>
    <row r="860" spans="32:32" x14ac:dyDescent="0.25">
      <c r="AF860" s="1951"/>
    </row>
    <row r="861" spans="32:32" x14ac:dyDescent="0.25">
      <c r="AF861" s="1951"/>
    </row>
    <row r="862" spans="32:32" x14ac:dyDescent="0.25">
      <c r="AF862" s="1951"/>
    </row>
    <row r="863" spans="32:32" x14ac:dyDescent="0.25">
      <c r="AF863" s="1951"/>
    </row>
    <row r="864" spans="32:32" x14ac:dyDescent="0.25">
      <c r="AF864" s="1951"/>
    </row>
    <row r="865" spans="32:32" x14ac:dyDescent="0.25">
      <c r="AF865" s="1951"/>
    </row>
    <row r="866" spans="32:32" x14ac:dyDescent="0.25">
      <c r="AF866" s="1951"/>
    </row>
    <row r="867" spans="32:32" x14ac:dyDescent="0.25">
      <c r="AF867" s="1951"/>
    </row>
    <row r="868" spans="32:32" x14ac:dyDescent="0.25">
      <c r="AF868" s="1951"/>
    </row>
    <row r="869" spans="32:32" x14ac:dyDescent="0.25">
      <c r="AF869" s="1951"/>
    </row>
    <row r="870" spans="32:32" x14ac:dyDescent="0.25">
      <c r="AF870" s="1951"/>
    </row>
    <row r="871" spans="32:32" x14ac:dyDescent="0.25">
      <c r="AF871" s="1951"/>
    </row>
    <row r="872" spans="32:32" x14ac:dyDescent="0.25">
      <c r="AF872" s="1951"/>
    </row>
    <row r="873" spans="32:32" x14ac:dyDescent="0.25">
      <c r="AF873" s="1951"/>
    </row>
    <row r="874" spans="32:32" x14ac:dyDescent="0.25">
      <c r="AF874" s="1951"/>
    </row>
    <row r="875" spans="32:32" x14ac:dyDescent="0.25">
      <c r="AF875" s="1951"/>
    </row>
    <row r="876" spans="32:32" x14ac:dyDescent="0.25">
      <c r="AF876" s="1951"/>
    </row>
    <row r="877" spans="32:32" x14ac:dyDescent="0.25">
      <c r="AF877" s="1951"/>
    </row>
    <row r="878" spans="32:32" x14ac:dyDescent="0.25">
      <c r="AF878" s="1951"/>
    </row>
    <row r="879" spans="32:32" x14ac:dyDescent="0.25">
      <c r="AF879" s="1951"/>
    </row>
    <row r="880" spans="32:32" x14ac:dyDescent="0.25">
      <c r="AF880" s="1951"/>
    </row>
    <row r="881" spans="32:32" x14ac:dyDescent="0.25">
      <c r="AF881" s="1951"/>
    </row>
    <row r="882" spans="32:32" x14ac:dyDescent="0.25">
      <c r="AF882" s="1951"/>
    </row>
    <row r="883" spans="32:32" x14ac:dyDescent="0.25">
      <c r="AF883" s="1951"/>
    </row>
    <row r="884" spans="32:32" x14ac:dyDescent="0.25">
      <c r="AF884" s="1951"/>
    </row>
    <row r="885" spans="32:32" x14ac:dyDescent="0.25">
      <c r="AF885" s="1951"/>
    </row>
    <row r="886" spans="32:32" x14ac:dyDescent="0.25">
      <c r="AF886" s="1951"/>
    </row>
    <row r="887" spans="32:32" x14ac:dyDescent="0.25">
      <c r="AF887" s="1951"/>
    </row>
    <row r="888" spans="32:32" x14ac:dyDescent="0.25">
      <c r="AF888" s="1951"/>
    </row>
    <row r="889" spans="32:32" x14ac:dyDescent="0.25">
      <c r="AF889" s="1951"/>
    </row>
    <row r="890" spans="32:32" x14ac:dyDescent="0.25">
      <c r="AF890" s="1951"/>
    </row>
    <row r="891" spans="32:32" x14ac:dyDescent="0.25">
      <c r="AF891" s="1951"/>
    </row>
    <row r="892" spans="32:32" x14ac:dyDescent="0.25">
      <c r="AF892" s="1951"/>
    </row>
    <row r="893" spans="32:32" x14ac:dyDescent="0.25">
      <c r="AF893" s="1951"/>
    </row>
    <row r="894" spans="32:32" x14ac:dyDescent="0.25">
      <c r="AF894" s="1951"/>
    </row>
    <row r="895" spans="32:32" x14ac:dyDescent="0.25">
      <c r="AF895" s="1951"/>
    </row>
    <row r="896" spans="32:32" x14ac:dyDescent="0.25">
      <c r="AF896" s="1951"/>
    </row>
    <row r="897" spans="32:32" x14ac:dyDescent="0.25">
      <c r="AF897" s="1951"/>
    </row>
    <row r="898" spans="32:32" x14ac:dyDescent="0.25">
      <c r="AF898" s="1951"/>
    </row>
    <row r="899" spans="32:32" x14ac:dyDescent="0.25">
      <c r="AF899" s="1951"/>
    </row>
    <row r="900" spans="32:32" x14ac:dyDescent="0.25">
      <c r="AF900" s="1951"/>
    </row>
    <row r="901" spans="32:32" x14ac:dyDescent="0.25">
      <c r="AF901" s="1951"/>
    </row>
    <row r="902" spans="32:32" x14ac:dyDescent="0.25">
      <c r="AF902" s="1951"/>
    </row>
    <row r="903" spans="32:32" x14ac:dyDescent="0.25">
      <c r="AF903" s="1951"/>
    </row>
    <row r="904" spans="32:32" x14ac:dyDescent="0.25">
      <c r="AF904" s="1951"/>
    </row>
    <row r="905" spans="32:32" x14ac:dyDescent="0.25">
      <c r="AF905" s="1951"/>
    </row>
    <row r="906" spans="32:32" x14ac:dyDescent="0.25">
      <c r="AF906" s="1951"/>
    </row>
    <row r="907" spans="32:32" x14ac:dyDescent="0.25">
      <c r="AF907" s="1951"/>
    </row>
    <row r="908" spans="32:32" x14ac:dyDescent="0.25">
      <c r="AF908" s="1951"/>
    </row>
    <row r="909" spans="32:32" x14ac:dyDescent="0.25">
      <c r="AF909" s="1951"/>
    </row>
    <row r="910" spans="32:32" x14ac:dyDescent="0.25">
      <c r="AF910" s="1951"/>
    </row>
    <row r="911" spans="32:32" x14ac:dyDescent="0.25">
      <c r="AF911" s="1951"/>
    </row>
    <row r="912" spans="32:32" x14ac:dyDescent="0.25">
      <c r="AF912" s="1951"/>
    </row>
    <row r="913" spans="32:32" x14ac:dyDescent="0.25">
      <c r="AF913" s="1951"/>
    </row>
    <row r="914" spans="32:32" x14ac:dyDescent="0.25">
      <c r="AF914" s="1951"/>
    </row>
    <row r="915" spans="32:32" x14ac:dyDescent="0.25">
      <c r="AF915" s="1951"/>
    </row>
    <row r="916" spans="32:32" x14ac:dyDescent="0.25">
      <c r="AF916" s="1951"/>
    </row>
    <row r="917" spans="32:32" x14ac:dyDescent="0.25">
      <c r="AF917" s="1951"/>
    </row>
    <row r="918" spans="32:32" x14ac:dyDescent="0.25">
      <c r="AF918" s="1951"/>
    </row>
    <row r="919" spans="32:32" x14ac:dyDescent="0.25">
      <c r="AF919" s="1951"/>
    </row>
    <row r="920" spans="32:32" x14ac:dyDescent="0.25">
      <c r="AF920" s="1951"/>
    </row>
    <row r="921" spans="32:32" x14ac:dyDescent="0.25">
      <c r="AF921" s="1951"/>
    </row>
    <row r="922" spans="32:32" x14ac:dyDescent="0.25">
      <c r="AF922" s="1951"/>
    </row>
    <row r="923" spans="32:32" x14ac:dyDescent="0.25">
      <c r="AF923" s="1951"/>
    </row>
    <row r="924" spans="32:32" x14ac:dyDescent="0.25">
      <c r="AF924" s="1951"/>
    </row>
    <row r="925" spans="32:32" x14ac:dyDescent="0.25">
      <c r="AF925" s="1951"/>
    </row>
    <row r="926" spans="32:32" x14ac:dyDescent="0.25">
      <c r="AF926" s="1951"/>
    </row>
    <row r="927" spans="32:32" x14ac:dyDescent="0.25">
      <c r="AF927" s="1951"/>
    </row>
    <row r="928" spans="32:32" x14ac:dyDescent="0.25">
      <c r="AF928" s="1951"/>
    </row>
    <row r="929" spans="32:32" x14ac:dyDescent="0.25">
      <c r="AF929" s="1951"/>
    </row>
    <row r="930" spans="32:32" x14ac:dyDescent="0.25">
      <c r="AF930" s="1951"/>
    </row>
    <row r="931" spans="32:32" x14ac:dyDescent="0.25">
      <c r="AF931" s="1951"/>
    </row>
    <row r="932" spans="32:32" x14ac:dyDescent="0.25">
      <c r="AF932" s="1951"/>
    </row>
    <row r="933" spans="32:32" x14ac:dyDescent="0.25">
      <c r="AF933" s="1951"/>
    </row>
    <row r="934" spans="32:32" x14ac:dyDescent="0.25">
      <c r="AF934" s="1951"/>
    </row>
    <row r="935" spans="32:32" x14ac:dyDescent="0.25">
      <c r="AF935" s="1951"/>
    </row>
    <row r="936" spans="32:32" x14ac:dyDescent="0.25">
      <c r="AF936" s="1951"/>
    </row>
    <row r="937" spans="32:32" x14ac:dyDescent="0.25">
      <c r="AF937" s="1951"/>
    </row>
    <row r="938" spans="32:32" x14ac:dyDescent="0.25">
      <c r="AF938" s="1951"/>
    </row>
    <row r="939" spans="32:32" x14ac:dyDescent="0.25">
      <c r="AF939" s="1951"/>
    </row>
    <row r="940" spans="32:32" x14ac:dyDescent="0.25">
      <c r="AF940" s="1951"/>
    </row>
    <row r="941" spans="32:32" x14ac:dyDescent="0.25">
      <c r="AF941" s="1951"/>
    </row>
    <row r="942" spans="32:32" x14ac:dyDescent="0.25">
      <c r="AF942" s="1951"/>
    </row>
    <row r="943" spans="32:32" x14ac:dyDescent="0.25">
      <c r="AF943" s="1951"/>
    </row>
    <row r="944" spans="32:32" x14ac:dyDescent="0.25">
      <c r="AF944" s="1951"/>
    </row>
    <row r="945" spans="32:32" x14ac:dyDescent="0.25">
      <c r="AF945" s="1951"/>
    </row>
    <row r="946" spans="32:32" x14ac:dyDescent="0.25">
      <c r="AF946" s="1951"/>
    </row>
    <row r="947" spans="32:32" x14ac:dyDescent="0.25">
      <c r="AF947" s="1951"/>
    </row>
    <row r="948" spans="32:32" x14ac:dyDescent="0.25">
      <c r="AF948" s="1951"/>
    </row>
    <row r="949" spans="32:32" x14ac:dyDescent="0.25">
      <c r="AF949" s="1951"/>
    </row>
    <row r="950" spans="32:32" x14ac:dyDescent="0.25">
      <c r="AF950" s="1951"/>
    </row>
    <row r="951" spans="32:32" x14ac:dyDescent="0.25">
      <c r="AF951" s="1951"/>
    </row>
    <row r="952" spans="32:32" x14ac:dyDescent="0.25">
      <c r="AF952" s="1951"/>
    </row>
    <row r="953" spans="32:32" x14ac:dyDescent="0.25">
      <c r="AF953" s="1951"/>
    </row>
    <row r="954" spans="32:32" x14ac:dyDescent="0.25">
      <c r="AF954" s="1951"/>
    </row>
    <row r="955" spans="32:32" x14ac:dyDescent="0.25">
      <c r="AF955" s="1951"/>
    </row>
    <row r="956" spans="32:32" x14ac:dyDescent="0.25">
      <c r="AF956" s="1951"/>
    </row>
    <row r="957" spans="32:32" x14ac:dyDescent="0.25">
      <c r="AF957" s="1951"/>
    </row>
    <row r="958" spans="32:32" x14ac:dyDescent="0.25">
      <c r="AF958" s="1951"/>
    </row>
    <row r="959" spans="32:32" x14ac:dyDescent="0.25">
      <c r="AF959" s="1951"/>
    </row>
    <row r="960" spans="32:32" x14ac:dyDescent="0.25">
      <c r="AF960" s="1951"/>
    </row>
    <row r="961" spans="32:32" x14ac:dyDescent="0.25">
      <c r="AF961" s="1951"/>
    </row>
    <row r="962" spans="32:32" x14ac:dyDescent="0.25">
      <c r="AF962" s="1951"/>
    </row>
    <row r="963" spans="32:32" x14ac:dyDescent="0.25">
      <c r="AF963" s="1951"/>
    </row>
    <row r="964" spans="32:32" x14ac:dyDescent="0.25">
      <c r="AF964" s="1951"/>
    </row>
    <row r="965" spans="32:32" x14ac:dyDescent="0.25">
      <c r="AF965" s="1951"/>
    </row>
    <row r="966" spans="32:32" x14ac:dyDescent="0.25">
      <c r="AF966" s="1951"/>
    </row>
    <row r="967" spans="32:32" x14ac:dyDescent="0.25">
      <c r="AF967" s="1951"/>
    </row>
    <row r="968" spans="32:32" x14ac:dyDescent="0.25">
      <c r="AF968" s="1951"/>
    </row>
    <row r="969" spans="32:32" x14ac:dyDescent="0.25">
      <c r="AF969" s="1951"/>
    </row>
    <row r="970" spans="32:32" x14ac:dyDescent="0.25">
      <c r="AF970" s="1951"/>
    </row>
    <row r="971" spans="32:32" x14ac:dyDescent="0.25">
      <c r="AF971" s="1951"/>
    </row>
    <row r="972" spans="32:32" x14ac:dyDescent="0.25">
      <c r="AF972" s="1951"/>
    </row>
    <row r="973" spans="32:32" x14ac:dyDescent="0.25">
      <c r="AF973" s="1951"/>
    </row>
    <row r="974" spans="32:32" x14ac:dyDescent="0.25">
      <c r="AF974" s="1951"/>
    </row>
    <row r="975" spans="32:32" x14ac:dyDescent="0.25">
      <c r="AF975" s="1951"/>
    </row>
    <row r="976" spans="32:32" x14ac:dyDescent="0.25">
      <c r="AF976" s="1951"/>
    </row>
    <row r="977" spans="32:32" x14ac:dyDescent="0.25">
      <c r="AF977" s="1951"/>
    </row>
    <row r="978" spans="32:32" x14ac:dyDescent="0.25">
      <c r="AF978" s="1951"/>
    </row>
    <row r="979" spans="32:32" x14ac:dyDescent="0.25">
      <c r="AF979" s="1951"/>
    </row>
    <row r="980" spans="32:32" x14ac:dyDescent="0.25">
      <c r="AF980" s="1951"/>
    </row>
    <row r="981" spans="32:32" x14ac:dyDescent="0.25">
      <c r="AF981" s="1951"/>
    </row>
    <row r="982" spans="32:32" x14ac:dyDescent="0.25">
      <c r="AF982" s="1951"/>
    </row>
    <row r="983" spans="32:32" x14ac:dyDescent="0.25">
      <c r="AF983" s="1951"/>
    </row>
    <row r="984" spans="32:32" x14ac:dyDescent="0.25">
      <c r="AF984" s="1951"/>
    </row>
    <row r="985" spans="32:32" x14ac:dyDescent="0.25">
      <c r="AF985" s="1951"/>
    </row>
    <row r="986" spans="32:32" x14ac:dyDescent="0.25">
      <c r="AF986" s="1951"/>
    </row>
    <row r="987" spans="32:32" x14ac:dyDescent="0.25">
      <c r="AF987" s="1951"/>
    </row>
    <row r="988" spans="32:32" x14ac:dyDescent="0.25">
      <c r="AF988" s="1951"/>
    </row>
    <row r="989" spans="32:32" x14ac:dyDescent="0.25">
      <c r="AF989" s="1951"/>
    </row>
    <row r="990" spans="32:32" x14ac:dyDescent="0.25">
      <c r="AF990" s="1951"/>
    </row>
    <row r="991" spans="32:32" x14ac:dyDescent="0.25">
      <c r="AF991" s="1951"/>
    </row>
    <row r="992" spans="32:32" x14ac:dyDescent="0.25">
      <c r="AF992" s="1951"/>
    </row>
    <row r="993" spans="32:32" x14ac:dyDescent="0.25">
      <c r="AF993" s="1951"/>
    </row>
    <row r="994" spans="32:32" x14ac:dyDescent="0.25">
      <c r="AF994" s="1951"/>
    </row>
    <row r="995" spans="32:32" x14ac:dyDescent="0.25">
      <c r="AF995" s="1951"/>
    </row>
    <row r="996" spans="32:32" x14ac:dyDescent="0.25">
      <c r="AF996" s="1951"/>
    </row>
    <row r="997" spans="32:32" x14ac:dyDescent="0.25">
      <c r="AF997" s="1951"/>
    </row>
    <row r="998" spans="32:32" x14ac:dyDescent="0.25">
      <c r="AF998" s="1951"/>
    </row>
    <row r="999" spans="32:32" x14ac:dyDescent="0.25">
      <c r="AF999" s="1951"/>
    </row>
    <row r="1000" spans="32:32" x14ac:dyDescent="0.25">
      <c r="AF1000" s="1951"/>
    </row>
  </sheetData>
  <sheetProtection algorithmName="SHA-512" hashValue="AjKV/HDdfxQ/N8QAomjZB+nKjqTlCxTh0YWxRgkGUqu5k3461wZYJs7owGfeeQIoiAgB4sgnXO+2vRr/6JKn1Q==" saltValue="aqyy9PPUyOJZQbeYYOJcIA==" spinCount="100000" sheet="1" objects="1" scenarios="1"/>
  <protectedRanges>
    <protectedRange sqref="C233:E233" name="Regel 232 232 Max vermogen hoger"/>
    <protectedRange sqref="N59:O59" name="Regel 059 059 115 Alleenstaande ouderenkorting"/>
    <protectedRange sqref="N66:O66" name="Regel 066 066 115 Combinatiekorting"/>
    <protectedRange sqref="C293:D294 C301:D301 C303:C304" name="Regel 293 304 Kindgebondenbudget"/>
    <protectedRange sqref="C261:D261 C263:D263" name="Regel 261 263 123 Huurkosten"/>
    <protectedRange sqref="C228:D228" name="Regel 228 228 137 Draagkrachtpercentage"/>
    <protectedRange sqref="E201 E204 F202 F205" name="Regel 201 205 138 Hypotheekrente"/>
    <protectedRange sqref="D146:E147 D151:E152 D157:E161" name="Regel 146 161 071 tm 073 Ondernemerskosten"/>
    <protectedRange sqref="C25 C27:C28 E25 E27:E28" name="Regel 025_028 Bijtelling auto"/>
    <protectedRange sqref="C137 E137 C139:C140 E139:E140" name="Regel 135 140 050 Bruto pensioen uitkering"/>
    <protectedRange sqref="C129 E129 C131:C132 E131:E132 C134 E134" name="Regel 126 134 043 Soc. verzekeringswetten"/>
    <protectedRange sqref="C120 E120 C122:C123 E122:E123 C125 E125" name="Regel 120 125 042 AOW uitkering"/>
    <protectedRange sqref="C77:C78 D81 E77:E78 F81" name="Regel 077 081 045 Inkomen Bouw"/>
    <protectedRange sqref="C33:C35 E33:E35" name="Regel 033_035 060 Jaarloon"/>
    <protectedRange sqref="C16 C20:C21" name="Regel 016_021 Berekeningsgegevens"/>
    <protectedRange sqref="C7:D9 C4:D5" name="Regel 004_009 Algemene gegevens"/>
    <protectedRange sqref="C38 E38 C40:C42 E40:E42 C54 E54 C56:C58 E56:E58 C44:C50 C60:C66 E60:E66 E44:E50" name="Regel 038_066 041 Inkomsten uit arbeid"/>
    <protectedRange sqref="C85:C88 C97:C100 E85:E88 E97:E100 C102:C105 E102:E105 E90:E93 C90:C93" name="Regel 085 105 049 tm 58 1e en 2e dienstbetrekking"/>
    <protectedRange sqref="C174:C177 C179 F174:F177 F179 C187:C190 C192 F187:F190 F192" name="Regel 174 192 082 tm 084 Eigen woning"/>
    <protectedRange sqref="C208 E208 C210:C211 E210:E211" name="Regel 208 211 119a Bijstandsuitkering"/>
    <protectedRange sqref="E167" name="Regel 167 167 OEW"/>
    <protectedRange sqref="P167:P168" name="Regel 167 168 OEW Verlater"/>
    <protectedRange sqref="P172:P177" name="Regel 172 177 170 OEW Hypotheek"/>
    <protectedRange sqref="E196" name="Regel 196 196 Woonvergoeding"/>
    <protectedRange sqref="C11:C12" name="Regel 011_012 Nieuwe Partner AP"/>
    <protectedRange sqref="E306 B310:J321 F327:H338" name="Regel 310 231 Gegevens kinderen en Studie"/>
  </protectedRanges>
  <sortState xmlns:xlrd2="http://schemas.microsoft.com/office/spreadsheetml/2017/richdata2" ref="E306:E314">
    <sortCondition ref="E148:E155"/>
  </sortState>
  <mergeCells count="280">
    <mergeCell ref="B411:E411"/>
    <mergeCell ref="E247:F247"/>
    <mergeCell ref="E248:F248"/>
    <mergeCell ref="E246:F246"/>
    <mergeCell ref="F157:J161"/>
    <mergeCell ref="F152:J152"/>
    <mergeCell ref="F147:J147"/>
    <mergeCell ref="B153:C153"/>
    <mergeCell ref="F184:F186"/>
    <mergeCell ref="E184:E186"/>
    <mergeCell ref="F150:J150"/>
    <mergeCell ref="B178:C178"/>
    <mergeCell ref="B202:D202"/>
    <mergeCell ref="B167:D167"/>
    <mergeCell ref="B162:C162"/>
    <mergeCell ref="E302:I302"/>
    <mergeCell ref="F255:J255"/>
    <mergeCell ref="F261:J261"/>
    <mergeCell ref="B205:D205"/>
    <mergeCell ref="F257:J257"/>
    <mergeCell ref="F151:J151"/>
    <mergeCell ref="G210:J210"/>
    <mergeCell ref="E288:J288"/>
    <mergeCell ref="F300:I300"/>
    <mergeCell ref="L319:M319"/>
    <mergeCell ref="M213:N213"/>
    <mergeCell ref="F308:F309"/>
    <mergeCell ref="B306:D306"/>
    <mergeCell ref="L314:M314"/>
    <mergeCell ref="B386:E386"/>
    <mergeCell ref="B363:E363"/>
    <mergeCell ref="N308:O308"/>
    <mergeCell ref="L307:N307"/>
    <mergeCell ref="G339:H339"/>
    <mergeCell ref="G325:G326"/>
    <mergeCell ref="J325:J326"/>
    <mergeCell ref="H325:H326"/>
    <mergeCell ref="G324:J324"/>
    <mergeCell ref="I325:I326"/>
    <mergeCell ref="C325:D325"/>
    <mergeCell ref="H307:H309"/>
    <mergeCell ref="I307:I309"/>
    <mergeCell ref="J307:J309"/>
    <mergeCell ref="H306:J306"/>
    <mergeCell ref="K325:K326"/>
    <mergeCell ref="C308:D308"/>
    <mergeCell ref="F301:I301"/>
    <mergeCell ref="F293:I294"/>
    <mergeCell ref="G113:J113"/>
    <mergeCell ref="G122:J122"/>
    <mergeCell ref="G123:J123"/>
    <mergeCell ref="G130:J130"/>
    <mergeCell ref="G131:J131"/>
    <mergeCell ref="G139:J139"/>
    <mergeCell ref="G132:J132"/>
    <mergeCell ref="G116:J116"/>
    <mergeCell ref="F146:J146"/>
    <mergeCell ref="F145:J145"/>
    <mergeCell ref="G121:J121"/>
    <mergeCell ref="G125:J125"/>
    <mergeCell ref="G142:J142"/>
    <mergeCell ref="G138:J138"/>
    <mergeCell ref="F256:J256"/>
    <mergeCell ref="E170:F170"/>
    <mergeCell ref="F254:J254"/>
    <mergeCell ref="G201:J205"/>
    <mergeCell ref="F156:J156"/>
    <mergeCell ref="Q309:Q313"/>
    <mergeCell ref="E183:F183"/>
    <mergeCell ref="G173:J179"/>
    <mergeCell ref="F171:F173"/>
    <mergeCell ref="F260:J260"/>
    <mergeCell ref="F253:J253"/>
    <mergeCell ref="F196:I197"/>
    <mergeCell ref="D304:I304"/>
    <mergeCell ref="B203:D203"/>
    <mergeCell ref="B195:D195"/>
    <mergeCell ref="B204:D204"/>
    <mergeCell ref="B200:D200"/>
    <mergeCell ref="D303:I303"/>
    <mergeCell ref="B191:C191"/>
    <mergeCell ref="B201:D201"/>
    <mergeCell ref="B196:D196"/>
    <mergeCell ref="F262:J262"/>
    <mergeCell ref="E296:I296"/>
    <mergeCell ref="G104:J104"/>
    <mergeCell ref="G110:J110"/>
    <mergeCell ref="G263:J263"/>
    <mergeCell ref="G209:J209"/>
    <mergeCell ref="N151:N152"/>
    <mergeCell ref="G140:J140"/>
    <mergeCell ref="G111:J111"/>
    <mergeCell ref="G112:J112"/>
    <mergeCell ref="G115:J115"/>
    <mergeCell ref="G117:J117"/>
    <mergeCell ref="G126:J126"/>
    <mergeCell ref="M147:P147"/>
    <mergeCell ref="O114:P114"/>
    <mergeCell ref="M121:P121"/>
    <mergeCell ref="O142:P142"/>
    <mergeCell ref="O151:O152"/>
    <mergeCell ref="M151:M152"/>
    <mergeCell ref="M204:M205"/>
    <mergeCell ref="N204:N205"/>
    <mergeCell ref="M139:R139"/>
    <mergeCell ref="M138:P138"/>
    <mergeCell ref="M130:P130"/>
    <mergeCell ref="O133:P133"/>
    <mergeCell ref="M148:S148"/>
    <mergeCell ref="Y29:Y30"/>
    <mergeCell ref="X29:X30"/>
    <mergeCell ref="E171:E173"/>
    <mergeCell ref="G200:J200"/>
    <mergeCell ref="G211:J211"/>
    <mergeCell ref="G114:J114"/>
    <mergeCell ref="G86:J86"/>
    <mergeCell ref="G87:J87"/>
    <mergeCell ref="C80:J80"/>
    <mergeCell ref="G109:J109"/>
    <mergeCell ref="G70:J70"/>
    <mergeCell ref="G101:J101"/>
    <mergeCell ref="G98:J98"/>
    <mergeCell ref="G71:J71"/>
    <mergeCell ref="G92:J92"/>
    <mergeCell ref="G76:J76"/>
    <mergeCell ref="G100:J100"/>
    <mergeCell ref="G89:J89"/>
    <mergeCell ref="G90:J90"/>
    <mergeCell ref="G91:J91"/>
    <mergeCell ref="G93:J93"/>
    <mergeCell ref="G72:J72"/>
    <mergeCell ref="G97:J97"/>
    <mergeCell ref="G102:J102"/>
    <mergeCell ref="G103:J103"/>
    <mergeCell ref="G105:J105"/>
    <mergeCell ref="V94:W94"/>
    <mergeCell ref="M101:P101"/>
    <mergeCell ref="O96:P96"/>
    <mergeCell ref="G108:J108"/>
    <mergeCell ref="Y21:Y22"/>
    <mergeCell ref="X21:X22"/>
    <mergeCell ref="V21:V22"/>
    <mergeCell ref="W21:W22"/>
    <mergeCell ref="G46:J46"/>
    <mergeCell ref="G47:J47"/>
    <mergeCell ref="G50:J50"/>
    <mergeCell ref="G81:J81"/>
    <mergeCell ref="G99:J99"/>
    <mergeCell ref="G96:J96"/>
    <mergeCell ref="G33:J34"/>
    <mergeCell ref="G28:J28"/>
    <mergeCell ref="G32:J32"/>
    <mergeCell ref="G65:J65"/>
    <mergeCell ref="G55:J55"/>
    <mergeCell ref="G39:J39"/>
    <mergeCell ref="G63:J63"/>
    <mergeCell ref="G66:J66"/>
    <mergeCell ref="V29:V30"/>
    <mergeCell ref="W29:W30"/>
    <mergeCell ref="O34:P34"/>
    <mergeCell ref="P59:S59"/>
    <mergeCell ref="M60:S60"/>
    <mergeCell ref="M62:S62"/>
    <mergeCell ref="O52:P52"/>
    <mergeCell ref="U29:U30"/>
    <mergeCell ref="X6:X7"/>
    <mergeCell ref="N9:P9"/>
    <mergeCell ref="W6:W7"/>
    <mergeCell ref="V13:V14"/>
    <mergeCell ref="W13:W14"/>
    <mergeCell ref="V6:V7"/>
    <mergeCell ref="O26:P26"/>
    <mergeCell ref="G26:J26"/>
    <mergeCell ref="G27:J27"/>
    <mergeCell ref="D15:J15"/>
    <mergeCell ref="D16:J16"/>
    <mergeCell ref="D17:J17"/>
    <mergeCell ref="D19:J19"/>
    <mergeCell ref="D20:J20"/>
    <mergeCell ref="C22:D22"/>
    <mergeCell ref="E6:J6"/>
    <mergeCell ref="E7:J7"/>
    <mergeCell ref="E8:J8"/>
    <mergeCell ref="E10:J10"/>
    <mergeCell ref="E11:J12"/>
    <mergeCell ref="C13:J13"/>
    <mergeCell ref="D21:J21"/>
    <mergeCell ref="E3:J3"/>
    <mergeCell ref="E4:J4"/>
    <mergeCell ref="E9:F9"/>
    <mergeCell ref="G9:J9"/>
    <mergeCell ref="E5:J5"/>
    <mergeCell ref="L6:M6"/>
    <mergeCell ref="R9:S9"/>
    <mergeCell ref="N10:P10"/>
    <mergeCell ref="L4:M4"/>
    <mergeCell ref="P4:Q4"/>
    <mergeCell ref="N7:P7"/>
    <mergeCell ref="N8:P8"/>
    <mergeCell ref="L5:M5"/>
    <mergeCell ref="P5:Q5"/>
    <mergeCell ref="P6:Q6"/>
    <mergeCell ref="G40:J40"/>
    <mergeCell ref="G41:J41"/>
    <mergeCell ref="G42:J42"/>
    <mergeCell ref="G43:J43"/>
    <mergeCell ref="G44:J44"/>
    <mergeCell ref="G45:J45"/>
    <mergeCell ref="G57:J57"/>
    <mergeCell ref="G88:J88"/>
    <mergeCell ref="G85:J85"/>
    <mergeCell ref="G77:J79"/>
    <mergeCell ref="G84:J84"/>
    <mergeCell ref="G56:J56"/>
    <mergeCell ref="G58:J58"/>
    <mergeCell ref="G49:J49"/>
    <mergeCell ref="G48:J48"/>
    <mergeCell ref="G59:J59"/>
    <mergeCell ref="G60:J60"/>
    <mergeCell ref="G61:J61"/>
    <mergeCell ref="G62:J62"/>
    <mergeCell ref="G64:J64"/>
    <mergeCell ref="Z2:AA2"/>
    <mergeCell ref="AA21:AA22"/>
    <mergeCell ref="Z29:Z30"/>
    <mergeCell ref="AA29:AA30"/>
    <mergeCell ref="Z13:Z14"/>
    <mergeCell ref="AA13:AA14"/>
    <mergeCell ref="Z6:Z7"/>
    <mergeCell ref="AA6:AA7"/>
    <mergeCell ref="Z3:AA3"/>
    <mergeCell ref="Z21:Z22"/>
    <mergeCell ref="AA36:AA37"/>
    <mergeCell ref="X78:Y78"/>
    <mergeCell ref="M67:S67"/>
    <mergeCell ref="M61:S61"/>
    <mergeCell ref="M63:S63"/>
    <mergeCell ref="Y36:Y37"/>
    <mergeCell ref="X36:X37"/>
    <mergeCell ref="U36:U37"/>
    <mergeCell ref="M110:P110"/>
    <mergeCell ref="Z36:Z37"/>
    <mergeCell ref="X94:Y94"/>
    <mergeCell ref="X87:Y87"/>
    <mergeCell ref="M84:P84"/>
    <mergeCell ref="P66:S66"/>
    <mergeCell ref="M76:S76"/>
    <mergeCell ref="M92:P92"/>
    <mergeCell ref="V36:V37"/>
    <mergeCell ref="W36:W37"/>
    <mergeCell ref="X104:Y104"/>
    <mergeCell ref="X95:Y95"/>
    <mergeCell ref="X105:Y105"/>
    <mergeCell ref="V95:W95"/>
    <mergeCell ref="V104:W104"/>
    <mergeCell ref="V105:W105"/>
    <mergeCell ref="V2:W2"/>
    <mergeCell ref="Y6:Y7"/>
    <mergeCell ref="X13:X14"/>
    <mergeCell ref="Y13:Y14"/>
    <mergeCell ref="R7:S7"/>
    <mergeCell ref="R8:S8"/>
    <mergeCell ref="R10:S10"/>
    <mergeCell ref="B434:E434"/>
    <mergeCell ref="X2:Y2"/>
    <mergeCell ref="O18:P18"/>
    <mergeCell ref="T36:T37"/>
    <mergeCell ref="T94:U94"/>
    <mergeCell ref="T95:U95"/>
    <mergeCell ref="T104:U104"/>
    <mergeCell ref="T105:U105"/>
    <mergeCell ref="T132:U132"/>
    <mergeCell ref="T2:U2"/>
    <mergeCell ref="T6:T7"/>
    <mergeCell ref="U6:U7"/>
    <mergeCell ref="T13:T14"/>
    <mergeCell ref="U13:U14"/>
    <mergeCell ref="T21:T22"/>
    <mergeCell ref="U21:U22"/>
    <mergeCell ref="T29:T30"/>
  </mergeCells>
  <conditionalFormatting sqref="C7">
    <cfRule type="expression" dxfId="144" priority="2951">
      <formula>AND(D$33+$D$35+$D$73&lt;&gt;0,$C$7="Nee")</formula>
    </cfRule>
    <cfRule type="expression" dxfId="143" priority="2950">
      <formula>AND($D$33+$C$35+$D$73=0,$C$7="Ja")</formula>
    </cfRule>
  </conditionalFormatting>
  <conditionalFormatting sqref="C16">
    <cfRule type="expression" dxfId="139" priority="2956">
      <formula>YEAR($C$16)&lt;_xlfn.NUMBERVALUE(LEFT(C22,4),",",".")</formula>
    </cfRule>
    <cfRule type="expression" dxfId="138" priority="2955">
      <formula>YEAR($C$16)&gt;_xlfn.NUMBERVALUE(LEFT(C22,4),",",".")</formula>
    </cfRule>
  </conditionalFormatting>
  <conditionalFormatting sqref="C20">
    <cfRule type="expression" dxfId="137" priority="2741">
      <formula>AND(TRIM($C$20)&lt;&gt;"",$C$20&gt;$C$17)</formula>
    </cfRule>
    <cfRule type="expression" dxfId="136" priority="2740">
      <formula>AND(TRIM($C$20)&lt;&gt;"",$C$20=$C$17)</formula>
    </cfRule>
  </conditionalFormatting>
  <conditionalFormatting sqref="C21">
    <cfRule type="expression" dxfId="135" priority="79">
      <formula>AND(TRIM($C$20)="",$C$21&lt;&gt;0)</formula>
    </cfRule>
  </conditionalFormatting>
  <conditionalFormatting sqref="C26">
    <cfRule type="cellIs" dxfId="134" priority="150" operator="equal">
      <formula>"Anders"</formula>
    </cfRule>
  </conditionalFormatting>
  <conditionalFormatting sqref="C39">
    <cfRule type="cellIs" dxfId="133" priority="100" operator="equal">
      <formula>"Anders"</formula>
    </cfRule>
  </conditionalFormatting>
  <conditionalFormatting sqref="C45">
    <cfRule type="expression" dxfId="132" priority="71">
      <formula>AND($C$49&lt;&gt;0,$C$45&lt;&gt;0)</formula>
    </cfRule>
  </conditionalFormatting>
  <conditionalFormatting sqref="C48">
    <cfRule type="expression" dxfId="131" priority="72">
      <formula>AND($C$49&lt;&gt;0,$C$48&lt;&gt;0)</formula>
    </cfRule>
  </conditionalFormatting>
  <conditionalFormatting sqref="C50">
    <cfRule type="expression" dxfId="130" priority="36">
      <formula>AND($C$50&lt;&gt;0,$C$49=0)</formula>
    </cfRule>
  </conditionalFormatting>
  <conditionalFormatting sqref="C55">
    <cfRule type="cellIs" dxfId="129" priority="95" operator="equal">
      <formula>"Anders"</formula>
    </cfRule>
  </conditionalFormatting>
  <conditionalFormatting sqref="C61">
    <cfRule type="expression" dxfId="128" priority="68">
      <formula>AND($C$65&lt;&gt;0,$C$61&lt;&gt;0)</formula>
    </cfRule>
  </conditionalFormatting>
  <conditionalFormatting sqref="C64">
    <cfRule type="expression" dxfId="127" priority="67">
      <formula>AND($C$65&lt;&gt;0,$C$64&lt;&gt;0)</formula>
    </cfRule>
  </conditionalFormatting>
  <conditionalFormatting sqref="C66">
    <cfRule type="expression" dxfId="126" priority="34">
      <formula>AND($C$66&lt;&gt;0,$C$65=0)</formula>
    </cfRule>
  </conditionalFormatting>
  <conditionalFormatting sqref="C121">
    <cfRule type="cellIs" dxfId="125" priority="156" operator="equal">
      <formula>"Anders"</formula>
    </cfRule>
  </conditionalFormatting>
  <conditionalFormatting sqref="C130">
    <cfRule type="cellIs" dxfId="124" priority="158" operator="equal">
      <formula>"Anders"</formula>
    </cfRule>
  </conditionalFormatting>
  <conditionalFormatting sqref="C138">
    <cfRule type="cellIs" dxfId="123" priority="152" operator="equal">
      <formula>"Anders"</formula>
    </cfRule>
  </conditionalFormatting>
  <conditionalFormatting sqref="C174">
    <cfRule type="expression" dxfId="122" priority="15">
      <formula>AND($C$174=0,SUM($C$175:$C$177)&gt;0)</formula>
    </cfRule>
  </conditionalFormatting>
  <conditionalFormatting sqref="C187">
    <cfRule type="expression" dxfId="121" priority="14">
      <formula>AND($C$187=0,SUM($C$188:$C$192)&gt;0)</formula>
    </cfRule>
  </conditionalFormatting>
  <conditionalFormatting sqref="C209">
    <cfRule type="cellIs" dxfId="120" priority="173" operator="equal">
      <formula>"Anders"</formula>
    </cfRule>
  </conditionalFormatting>
  <conditionalFormatting sqref="C303 E306">
    <cfRule type="expression" dxfId="119" priority="2739">
      <formula>AND($C$20&gt;=$C$17,$C$303="Ja")</formula>
    </cfRule>
  </conditionalFormatting>
  <conditionalFormatting sqref="C9:D10">
    <cfRule type="cellIs" dxfId="118" priority="2957" operator="lessThanOrEqual">
      <formula>$C$17</formula>
    </cfRule>
  </conditionalFormatting>
  <conditionalFormatting sqref="C257:D257">
    <cfRule type="cellIs" dxfId="117" priority="959" operator="greaterThan">
      <formula>$E$257</formula>
    </cfRule>
  </conditionalFormatting>
  <conditionalFormatting sqref="C310:D321">
    <cfRule type="expression" dxfId="116" priority="2">
      <formula>AND(OR($C310&lt;&gt;0,$D310&lt;&gt;0),$E310&gt;0,RIGHT($F327,9)="Uitwonend")</formula>
    </cfRule>
    <cfRule type="expression" dxfId="115" priority="1834">
      <formula>AND($B310&lt;&gt;"",$E310&lt;&gt;"",SUM($C310:$G310)=0,$E327&lt;18)</formula>
    </cfRule>
    <cfRule type="expression" dxfId="114" priority="1833">
      <formula>AND($C310=1,$D310=1)</formula>
    </cfRule>
    <cfRule type="expression" dxfId="113" priority="82">
      <formula>AND($C310=0,$D310=0,$E310&gt;0,RIGHT($F327,9)&lt;&gt;"Uitwonend")</formula>
    </cfRule>
  </conditionalFormatting>
  <conditionalFormatting sqref="C313:D316">
    <cfRule type="expression" dxfId="112" priority="1835">
      <formula>AND($B313&lt;&gt;"",$E313&lt;&gt;"",SUM($C313:$G313)=0,$E330&lt;18)</formula>
    </cfRule>
  </conditionalFormatting>
  <conditionalFormatting sqref="C327:D338">
    <cfRule type="cellIs" dxfId="111" priority="26" operator="equal">
      <formula>"???"</formula>
    </cfRule>
    <cfRule type="cellIs" dxfId="110" priority="27" operator="equal">
      <formula>"Nee"</formula>
    </cfRule>
    <cfRule type="cellIs" dxfId="109" priority="28" operator="equal">
      <formula>"Ja"</formula>
    </cfRule>
  </conditionalFormatting>
  <conditionalFormatting sqref="D7">
    <cfRule type="expression" dxfId="108" priority="2958">
      <formula>AND($E$33+$E$35+$F$73&lt;&gt;0,$D$7="Nee")</formula>
    </cfRule>
    <cfRule type="expression" dxfId="107" priority="2959">
      <formula>AND($E$33+$E$35+$F$73=0,$D$7="Ja")</formula>
    </cfRule>
  </conditionalFormatting>
  <conditionalFormatting sqref="D8">
    <cfRule type="expression" dxfId="106" priority="3036">
      <formula>AND($F$73&lt;&gt;0,$D$8="Ja")</formula>
    </cfRule>
  </conditionalFormatting>
  <conditionalFormatting sqref="D50">
    <cfRule type="expression" dxfId="103" priority="57">
      <formula>($D$66*-1)&gt;$D$65</formula>
    </cfRule>
  </conditionalFormatting>
  <conditionalFormatting sqref="D66">
    <cfRule type="expression" dxfId="102" priority="64">
      <formula>($D$66*-1)&gt;$D$65</formula>
    </cfRule>
  </conditionalFormatting>
  <conditionalFormatting sqref="D81">
    <cfRule type="expression" dxfId="101" priority="128">
      <formula>AND($D$81&gt;0,$D$81&lt;$D$79)</formula>
    </cfRule>
  </conditionalFormatting>
  <conditionalFormatting sqref="D147:E147">
    <cfRule type="expression" dxfId="100" priority="3084">
      <formula>AND(D$146="Nee",D$147="Ja")</formula>
    </cfRule>
  </conditionalFormatting>
  <conditionalFormatting sqref="E26">
    <cfRule type="cellIs" dxfId="99" priority="149" operator="equal">
      <formula>"Anders"</formula>
    </cfRule>
  </conditionalFormatting>
  <conditionalFormatting sqref="E39">
    <cfRule type="cellIs" dxfId="98" priority="96" operator="equal">
      <formula>"Anders"</formula>
    </cfRule>
  </conditionalFormatting>
  <conditionalFormatting sqref="E45">
    <cfRule type="expression" dxfId="97" priority="70">
      <formula>AND($E$49&lt;&gt;0,$E$45&lt;&gt;0)</formula>
    </cfRule>
  </conditionalFormatting>
  <conditionalFormatting sqref="E48">
    <cfRule type="expression" dxfId="96" priority="32">
      <formula>AND($C$49&lt;&gt;0,$C$48&lt;&gt;0)</formula>
    </cfRule>
  </conditionalFormatting>
  <conditionalFormatting sqref="E50">
    <cfRule type="expression" dxfId="95" priority="35">
      <formula>AND($E$50&lt;&gt;0,$E$49=0)</formula>
    </cfRule>
  </conditionalFormatting>
  <conditionalFormatting sqref="E55">
    <cfRule type="cellIs" dxfId="94" priority="94" operator="equal">
      <formula>"Anders"</formula>
    </cfRule>
  </conditionalFormatting>
  <conditionalFormatting sqref="E61">
    <cfRule type="expression" dxfId="93" priority="65">
      <formula>AND($E$65&lt;&gt;0,$E$61&lt;&gt;0)</formula>
    </cfRule>
  </conditionalFormatting>
  <conditionalFormatting sqref="E64">
    <cfRule type="expression" dxfId="92" priority="66">
      <formula>AND($E$65&lt;&gt;0,$E$64&lt;&gt;0)</formula>
    </cfRule>
  </conditionalFormatting>
  <conditionalFormatting sqref="E66">
    <cfRule type="expression" dxfId="91" priority="33">
      <formula>AND($E$66&lt;&gt;0,$E$65=0)</formula>
    </cfRule>
  </conditionalFormatting>
  <conditionalFormatting sqref="E121">
    <cfRule type="cellIs" dxfId="90" priority="155" operator="equal">
      <formula>"Anders"</formula>
    </cfRule>
  </conditionalFormatting>
  <conditionalFormatting sqref="E130">
    <cfRule type="cellIs" dxfId="89" priority="157" operator="equal">
      <formula>"Anders"</formula>
    </cfRule>
  </conditionalFormatting>
  <conditionalFormatting sqref="E138">
    <cfRule type="cellIs" dxfId="88" priority="151" operator="equal">
      <formula>"Anders"</formula>
    </cfRule>
  </conditionalFormatting>
  <conditionalFormatting sqref="E175">
    <cfRule type="cellIs" dxfId="87" priority="196" operator="lessThan">
      <formula>0</formula>
    </cfRule>
    <cfRule type="cellIs" dxfId="86" priority="195" operator="greaterThan">
      <formula>$C$175</formula>
    </cfRule>
    <cfRule type="cellIs" dxfId="85" priority="19" stopIfTrue="1" operator="equal">
      <formula>"Zie OEW"</formula>
    </cfRule>
  </conditionalFormatting>
  <conditionalFormatting sqref="E176">
    <cfRule type="expression" dxfId="84" priority="193">
      <formula>AND($E$176&lt;&gt;"Zie OEW",$E$176&gt;$C$176)</formula>
    </cfRule>
  </conditionalFormatting>
  <conditionalFormatting sqref="E177">
    <cfRule type="cellIs" dxfId="83" priority="187" operator="greaterThan">
      <formula>$C$177</formula>
    </cfRule>
  </conditionalFormatting>
  <conditionalFormatting sqref="E177:E179">
    <cfRule type="cellIs" dxfId="82" priority="188" operator="lessThan">
      <formula>0</formula>
    </cfRule>
  </conditionalFormatting>
  <conditionalFormatting sqref="E178">
    <cfRule type="cellIs" dxfId="81" priority="214" operator="greaterThan">
      <formula>$D$178</formula>
    </cfRule>
  </conditionalFormatting>
  <conditionalFormatting sqref="E179 E192">
    <cfRule type="cellIs" dxfId="80" priority="215" operator="greaterThan">
      <formula>$C$179</formula>
    </cfRule>
  </conditionalFormatting>
  <conditionalFormatting sqref="E179">
    <cfRule type="cellIs" dxfId="79" priority="20" stopIfTrue="1" operator="equal">
      <formula>"Zie OEW"</formula>
    </cfRule>
  </conditionalFormatting>
  <conditionalFormatting sqref="E188">
    <cfRule type="cellIs" dxfId="78" priority="114" operator="greaterThan">
      <formula>$C$188</formula>
    </cfRule>
  </conditionalFormatting>
  <conditionalFormatting sqref="E188:E192">
    <cfRule type="cellIs" dxfId="77" priority="111" operator="lessThan">
      <formula>0</formula>
    </cfRule>
  </conditionalFormatting>
  <conditionalFormatting sqref="E189">
    <cfRule type="cellIs" dxfId="76" priority="112" operator="greaterThan">
      <formula>$C$189</formula>
    </cfRule>
  </conditionalFormatting>
  <conditionalFormatting sqref="E190">
    <cfRule type="cellIs" dxfId="75" priority="110" operator="greaterThan">
      <formula>$C$190</formula>
    </cfRule>
  </conditionalFormatting>
  <conditionalFormatting sqref="E191">
    <cfRule type="cellIs" dxfId="74" priority="117" operator="greaterThan">
      <formula>$D$191</formula>
    </cfRule>
  </conditionalFormatting>
  <conditionalFormatting sqref="E196">
    <cfRule type="expression" dxfId="73" priority="2737">
      <formula>AND($E$196&lt;&gt;0,#REF!&lt;&gt;0)</formula>
    </cfRule>
    <cfRule type="expression" dxfId="72" priority="16">
      <formula>AND($E$167="Nee",$E$196&lt;&gt;0)</formula>
    </cfRule>
  </conditionalFormatting>
  <conditionalFormatting sqref="E201">
    <cfRule type="expression" dxfId="71" priority="43">
      <formula>AND(BGOEWRekenModule="Ja",$E$201&lt;&gt;0)</formula>
    </cfRule>
  </conditionalFormatting>
  <conditionalFormatting sqref="E204">
    <cfRule type="expression" dxfId="70" priority="42">
      <formula>AND(BGOEWRekenModule="Ja",$E$204&lt;&gt;0)</formula>
    </cfRule>
  </conditionalFormatting>
  <conditionalFormatting sqref="E209">
    <cfRule type="cellIs" dxfId="69" priority="172" operator="equal">
      <formula>"Anders"</formula>
    </cfRule>
  </conditionalFormatting>
  <conditionalFormatting sqref="E310:E321">
    <cfRule type="expression" dxfId="68" priority="1">
      <formula>$E310&gt;$E$308</formula>
    </cfRule>
  </conditionalFormatting>
  <conditionalFormatting sqref="F50">
    <cfRule type="expression" dxfId="67" priority="60">
      <formula>($F$50*-1)&gt;$F$49</formula>
    </cfRule>
  </conditionalFormatting>
  <conditionalFormatting sqref="F66">
    <cfRule type="expression" dxfId="66" priority="58">
      <formula>($F$50*-1)&gt;$F$49</formula>
    </cfRule>
  </conditionalFormatting>
  <conditionalFormatting sqref="F81:F82">
    <cfRule type="expression" dxfId="65" priority="127">
      <formula>AND($F$81&gt;0,$F$81&lt;$F$79)</formula>
    </cfRule>
  </conditionalFormatting>
  <conditionalFormatting sqref="F174">
    <cfRule type="expression" dxfId="64" priority="45">
      <formula>AND(BGOEWRekenModule="Ja",$F$174&lt;&gt;0)</formula>
    </cfRule>
  </conditionalFormatting>
  <conditionalFormatting sqref="F175">
    <cfRule type="expression" dxfId="63" priority="18">
      <formula>AND(BGOEWRekenModule="Ja",$F$175&lt;&gt;0)</formula>
    </cfRule>
  </conditionalFormatting>
  <conditionalFormatting sqref="F176">
    <cfRule type="expression" dxfId="62" priority="44">
      <formula>AND(BGOEWRekenModule="Ja",$F$176&lt;&gt;0)</formula>
    </cfRule>
  </conditionalFormatting>
  <conditionalFormatting sqref="F179">
    <cfRule type="expression" dxfId="61" priority="17">
      <formula>AND(BGOEWRekenModule="Ja",$F$179&lt;&gt;0)</formula>
    </cfRule>
  </conditionalFormatting>
  <conditionalFormatting sqref="F202">
    <cfRule type="expression" dxfId="60" priority="41">
      <formula>AND(BGOEWRekenModule="Ja",$F$202&lt;&gt;0)</formula>
    </cfRule>
  </conditionalFormatting>
  <conditionalFormatting sqref="F205">
    <cfRule type="expression" dxfId="59" priority="40">
      <formula>AND(BGOEWRekenModule="Ja",$F$205&lt;&gt;0)</formula>
    </cfRule>
  </conditionalFormatting>
  <conditionalFormatting sqref="F327:F338">
    <cfRule type="expression" priority="22" stopIfTrue="1">
      <formula>AND($E327&gt;=16,LEFT($F327,3)="MBO")</formula>
    </cfRule>
    <cfRule type="expression" dxfId="58" priority="23">
      <formula>AND($E327&lt;16,LEFT($F327,6)="HBO/WO")</formula>
    </cfRule>
    <cfRule type="expression" dxfId="57" priority="1818">
      <formula>AND($E327&lt;16,$F327&lt;&gt;"Behoeftetabel")</formula>
    </cfRule>
  </conditionalFormatting>
  <conditionalFormatting sqref="G327:G338">
    <cfRule type="expression" dxfId="56" priority="1820">
      <formula>AND(RIGHT($F327,8)="Berekend",$E327&lt;16)</formula>
    </cfRule>
    <cfRule type="expression" dxfId="55" priority="1819">
      <formula>AND($G327&lt;&gt;0,RIGHT($F327,8)&lt;&gt;"Berekend",RIGHT($F327,14)&lt;&gt;"Zelfvoorzienend")</formula>
    </cfRule>
    <cfRule type="expression" dxfId="54" priority="25">
      <formula>AND($G327=0,RIGHT($F327,8)="Berekend")</formula>
    </cfRule>
  </conditionalFormatting>
  <conditionalFormatting sqref="H310:H321">
    <cfRule type="expression" dxfId="53" priority="1838">
      <formula>AND($H310&lt;&gt;0,$I327&lt;&gt;"Ja")</formula>
    </cfRule>
  </conditionalFormatting>
  <conditionalFormatting sqref="H327:H338">
    <cfRule type="expression" dxfId="52" priority="87">
      <formula>AND(LEFT($F327,6)&lt;&gt;"HBO/WO",$H327&lt;&gt;"Nee")</formula>
    </cfRule>
  </conditionalFormatting>
  <conditionalFormatting sqref="I310:I321">
    <cfRule type="expression" dxfId="51" priority="1837">
      <formula>AND($I310&lt;&gt;0,AND(LEFT($F327,3)&lt;&gt;"MBO", LEFT($F327,3)&lt;&gt;"HBO"))</formula>
    </cfRule>
  </conditionalFormatting>
  <conditionalFormatting sqref="N59 E167">
    <cfRule type="expression" dxfId="50" priority="207">
      <formula>AND($N$57&gt;$N$58,$N$59="Ja")</formula>
    </cfRule>
  </conditionalFormatting>
  <conditionalFormatting sqref="N66">
    <cfRule type="expression" dxfId="49" priority="3141">
      <formula>AND($N$66="Ja",$N$314=0)</formula>
    </cfRule>
  </conditionalFormatting>
  <conditionalFormatting sqref="O59">
    <cfRule type="expression" dxfId="48" priority="206">
      <formula>AND($O$57&gt;$O$58,$O$59="Ja")</formula>
    </cfRule>
  </conditionalFormatting>
  <conditionalFormatting sqref="O66">
    <cfRule type="expression" dxfId="47" priority="3142">
      <formula>AND($O$66="Ja",$O$314=0)</formula>
    </cfRule>
  </conditionalFormatting>
  <conditionalFormatting sqref="P167:P168 P172:P175 P177">
    <cfRule type="expression" dxfId="46" priority="3146">
      <formula>AND($E$167="Ja",$P167="")</formula>
    </cfRule>
  </conditionalFormatting>
  <conditionalFormatting sqref="P176">
    <cfRule type="expression" dxfId="45" priority="3088">
      <formula>AND($E$167="Ja",$P$168="Ja",$P$176=0)</formula>
    </cfRule>
  </conditionalFormatting>
  <conditionalFormatting sqref="T181:T182">
    <cfRule type="cellIs" dxfId="44" priority="46" operator="equal">
      <formula>-0.5</formula>
    </cfRule>
    <cfRule type="cellIs" dxfId="43" priority="47" operator="equal">
      <formula>50%</formula>
    </cfRule>
  </conditionalFormatting>
  <conditionalFormatting sqref="T184:AE195">
    <cfRule type="cellIs" dxfId="42" priority="5" operator="equal">
      <formula>50%</formula>
    </cfRule>
    <cfRule type="cellIs" dxfId="41" priority="4" operator="equal">
      <formula>-0.5</formula>
    </cfRule>
  </conditionalFormatting>
  <dataValidations xWindow="380" yWindow="881" count="1">
    <dataValidation type="whole" allowBlank="1" showInputMessage="1" showErrorMessage="1" promptTitle="Aantal invullen" prompt="Vul een 0 of een 1 in" sqref="C310:D321" xr:uid="{868750B0-1750-417E-A1B6-71FA4E5CFFA5}">
      <formula1>0</formula1>
      <formula2>1</formula2>
    </dataValidation>
  </dataValidations>
  <hyperlinks>
    <hyperlink ref="P13"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3" r:id="rId8" xr:uid="{85B0F502-A1A8-42CE-8E0D-14B72C54E7A0}"/>
    <hyperlink ref="D220" r:id="rId9" display="https://www.belastingdienst.nl/wps/wcm/connect/bldcontentnl/belastingdienst/prive/vermogen_en_aanmerkelijk_belang/vermogen/wat_zijn_uw_bezittingen_en_schulden/uw_schulden/drempel" xr:uid="{00000000-0004-0000-0000-00000C000000}"/>
    <hyperlink ref="D221" r:id="rId10" xr:uid="{831F20BF-4AEF-4C93-84AE-843F39FB5D5C}"/>
    <hyperlink ref="G263" r:id="rId11" xr:uid="{00000000-0004-0000-0000-000011000000}"/>
    <hyperlink ref="E302" r:id="rId12" display="https://www.belastingdienst.nl/rekenhulpen/toeslagen/" xr:uid="{52CE9EE6-74A6-4D37-ACA7-3B3658E3ED9F}"/>
    <hyperlink ref="E296" r:id="rId13" display="https://www.belastingdienst.nl/rekenhulpen/toeslagen/" xr:uid="{36378316-69C0-4336-B0F4-8D1717CE868C}"/>
    <hyperlink ref="H341" r:id="rId14" xr:uid="{17739179-EA78-4BA3-A173-3799F821035D}"/>
    <hyperlink ref="H340" r:id="rId15" xr:uid="{7AE1882D-6651-471D-BC39-51D4FA80E5D9}"/>
    <hyperlink ref="G9" r:id="rId16" xr:uid="{00000000-0004-0000-0000-000012000000}"/>
    <hyperlink ref="O78" r:id="rId17" xr:uid="{7DBBFFF9-E05D-4089-956B-9A4E09E815C8}"/>
    <hyperlink ref="O86" r:id="rId18" xr:uid="{45843A70-09AE-4895-B7D3-06AAEFEEE864}"/>
    <hyperlink ref="O94" r:id="rId19" xr:uid="{4709F93F-4CB2-4A94-B48D-DBBC00C48D41}"/>
    <hyperlink ref="O113" r:id="rId20" xr:uid="{6B391C86-A7B3-4BA7-AE35-DA2377164895}"/>
    <hyperlink ref="C155" r:id="rId21" xr:uid="{C172C30F-D1E8-47EA-B39D-90122F3E61A1}"/>
    <hyperlink ref="P141" r:id="rId22" xr:uid="{65D6F209-01A5-4A8E-BF95-FE03DF02D20A}"/>
    <hyperlink ref="O207" r:id="rId23" xr:uid="{131A4D58-2069-4524-AF82-07AACD4078EA}"/>
  </hyperlinks>
  <pageMargins left="0.70866141732283472" right="0.70866141732283472" top="0.74803149606299213" bottom="0.74803149606299213" header="0.31496062992125984" footer="0.31496062992125984"/>
  <pageSetup paperSize="8" scale="65" orientation="landscape" horizontalDpi="4294967293" r:id="rId24"/>
  <drawing r:id="rId25"/>
  <legacyDrawing r:id="rId26"/>
  <extLst>
    <ext xmlns:x14="http://schemas.microsoft.com/office/spreadsheetml/2009/9/main" uri="{78C0D931-6437-407d-A8EE-F0AAD7539E65}">
      <x14:conditionalFormattings>
        <x14:conditionalFormatting xmlns:xm="http://schemas.microsoft.com/office/excel/2006/main">
          <x14:cfRule type="expression" priority="3035" id="{60A155B2-AC98-49B2-8FDF-ADF7CFE74315}">
            <xm:f>AND('Alimentatie 2025-01'!$D$56&lt;#REF!,$C$8="Nee")</xm:f>
            <x14:dxf>
              <fill>
                <patternFill>
                  <bgColor rgb="FFFFC000"/>
                </patternFill>
              </fill>
            </x14:dxf>
          </x14:cfRule>
          <x14:cfRule type="expression" priority="3034" id="{00000000-000E-0000-0200-0000CF050000}">
            <xm:f>AND('Alimentatie 2025-01'!$D$56&gt;#REF!,$C$8="Ja")</xm:f>
            <x14:dxf>
              <fill>
                <patternFill>
                  <bgColor rgb="FFFFC000"/>
                </patternFill>
              </fill>
            </x14:dxf>
          </x14:cfRule>
          <x14:cfRule type="expression" priority="3033" id="{00000000-000E-0000-0200-0000CE050000}">
            <xm:f>AND('Alimentatie 2025-01'!$D$56&gt;#REF!,$C$8="Ja")</xm:f>
            <x14:dxf>
              <fill>
                <patternFill>
                  <bgColor rgb="FFFF0000"/>
                </patternFill>
              </fill>
            </x14:dxf>
          </x14:cfRule>
          <xm:sqref>C8</xm:sqref>
        </x14:conditionalFormatting>
        <x14:conditionalFormatting xmlns:xm="http://schemas.microsoft.com/office/excel/2006/main">
          <x14:cfRule type="expression" priority="3037" id="{57B52131-CDB9-47DF-B677-B1433483B64B}">
            <xm:f>AND('Alimentatie 2025-01'!$G$56&gt;#REF!,$D$8="Ja")</xm:f>
            <x14:dxf>
              <fill>
                <patternFill>
                  <bgColor rgb="FFFFC000"/>
                </patternFill>
              </fill>
            </x14:dxf>
          </x14:cfRule>
          <x14:cfRule type="expression" priority="3038" id="{00000000-000E-0000-0200-0000D1050000}">
            <xm:f>AND('Alimentatie 2025-01'!$G$56&lt;#REF!,$D$8="Nee")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N66:O66 E167 P168 C303:C304 C34 H327:H338 N59:O59 E306 D146:E147 E46 D151:E152 C7:D8 C62 E62 E34 C46 D157:E161 C233:E233</xm:sqref>
        </x14:dataValidation>
        <x14:dataValidation type="list" allowBlank="1" showInputMessage="1" showErrorMessage="1" promptTitle="Draagkracht %" prompt="Normaal wordt uitgegaan van 60%" xr:uid="{4637156D-0CC3-4F4D-98D1-11DD5848A6F9}">
          <x14:formula1>
            <xm:f>Keuzelijsten!$M$2:$M$3</xm:f>
          </x14:formula1>
          <xm:sqref>C228:D228</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Keuzelijsten!$O$2:$O$9</xm:f>
          </x14:formula1>
          <xm:sqref>F327:F338</xm:sqref>
        </x14:dataValidation>
        <x14:dataValidation type="list" allowBlank="1" showInputMessage="1" showErrorMessage="1" promptTitle="Zorgkorting" prompt="Voor 0%, 5%, 15%, 25% of 35% in" xr:uid="{3B3D1596-6ABE-4544-A47D-15ED9F3E03C5}">
          <x14:formula1>
            <xm:f>Keuzelijsten!$K$2:$K$6</xm:f>
          </x14:formula1>
          <xm:sqref>G310:G321</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P167</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P177</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C120 E120 E129 C129 C137 E137 C208 E208</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P172:P175</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O673"/>
  <sheetViews>
    <sheetView showGridLines="0" zoomScale="80" zoomScaleNormal="8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outlineLevelCol="1" x14ac:dyDescent="0.25"/>
  <cols>
    <col min="1" max="1" width="9.140625" style="3"/>
    <col min="2" max="2" width="82.7109375" style="46" customWidth="1"/>
    <col min="3" max="3" width="3.85546875" style="3" bestFit="1" customWidth="1"/>
    <col min="4" max="5" width="23.7109375" style="135" customWidth="1"/>
    <col min="6" max="6" width="23.7109375" style="135" customWidth="1" outlineLevel="1"/>
    <col min="7" max="8" width="23.7109375" style="135" customWidth="1"/>
    <col min="9" max="9" width="23.7109375" style="135" customWidth="1" outlineLevel="1"/>
    <col min="10" max="10" width="70.7109375" style="80" customWidth="1"/>
    <col min="11" max="11" width="9.140625" style="14"/>
    <col min="12" max="12" width="9.140625" style="1"/>
    <col min="13" max="13" width="23.85546875" style="1" customWidth="1"/>
    <col min="14" max="14" width="25.140625" style="1" customWidth="1"/>
    <col min="15" max="16384" width="9.140625" style="1"/>
  </cols>
  <sheetData>
    <row r="1" spans="1:11" ht="24" thickBot="1" x14ac:dyDescent="0.3">
      <c r="B1" s="1736" t="s">
        <v>805</v>
      </c>
      <c r="D1" s="422" t="str">
        <f>Basisgegevens!P181</f>
        <v>--</v>
      </c>
      <c r="F1" s="811" t="s">
        <v>1123</v>
      </c>
      <c r="G1" s="422" t="str">
        <f>Basisgegevens!Q181</f>
        <v>--</v>
      </c>
      <c r="I1" s="811" t="s">
        <v>1123</v>
      </c>
      <c r="K1" s="14">
        <v>1</v>
      </c>
    </row>
    <row r="2" spans="1:11" s="136" customFormat="1" ht="16.5" thickBot="1" x14ac:dyDescent="0.3">
      <c r="A2" s="1737" t="s">
        <v>727</v>
      </c>
      <c r="B2" s="355" t="s">
        <v>205</v>
      </c>
      <c r="C2" s="838" t="s">
        <v>190</v>
      </c>
      <c r="D2" s="2171" t="str">
        <f>BGPartner_AP</f>
        <v>A. Plichtig</v>
      </c>
      <c r="E2" s="836" t="s">
        <v>4</v>
      </c>
      <c r="F2" s="836" t="s">
        <v>1116</v>
      </c>
      <c r="G2" s="2171" t="str">
        <f>BGPartner_AG</f>
        <v>A. Gerechtigd</v>
      </c>
      <c r="H2" s="836" t="s">
        <v>4</v>
      </c>
      <c r="I2" s="836" t="s">
        <v>1116</v>
      </c>
      <c r="J2" s="1519" t="s">
        <v>189</v>
      </c>
      <c r="K2" s="1997" t="s">
        <v>726</v>
      </c>
    </row>
    <row r="3" spans="1:11" ht="15.75" thickBot="1" x14ac:dyDescent="0.3">
      <c r="A3" s="1604"/>
      <c r="B3" s="1512"/>
      <c r="C3" s="1605"/>
      <c r="D3" s="1606"/>
      <c r="E3" s="1072"/>
      <c r="F3" s="1072"/>
      <c r="G3" s="1606"/>
      <c r="H3" s="1072"/>
      <c r="I3" s="1072"/>
      <c r="J3" s="1540"/>
      <c r="K3" s="147">
        <v>3</v>
      </c>
    </row>
    <row r="4" spans="1:11" ht="21.75" thickBot="1" x14ac:dyDescent="0.3">
      <c r="A4" s="1660"/>
      <c r="B4" s="1661" t="s">
        <v>206</v>
      </c>
      <c r="C4" s="1662"/>
      <c r="D4" s="821"/>
      <c r="E4" s="821"/>
      <c r="F4" s="821"/>
      <c r="G4" s="821"/>
      <c r="H4" s="821"/>
      <c r="I4" s="821"/>
      <c r="J4" s="2441"/>
      <c r="K4" s="1937">
        <v>4</v>
      </c>
    </row>
    <row r="5" spans="1:11" ht="19.5" thickBot="1" x14ac:dyDescent="0.3">
      <c r="A5" s="1724"/>
      <c r="B5" s="1725" t="s">
        <v>269</v>
      </c>
      <c r="C5" s="1726"/>
      <c r="D5" s="1727"/>
      <c r="E5" s="1727"/>
      <c r="F5" s="1727"/>
      <c r="G5" s="1727"/>
      <c r="H5" s="1727"/>
      <c r="I5" s="1727"/>
      <c r="J5" s="2440"/>
      <c r="K5" s="1999">
        <v>5</v>
      </c>
    </row>
    <row r="6" spans="1:11" ht="45" outlineLevel="1" x14ac:dyDescent="0.25">
      <c r="A6" s="1353">
        <v>41</v>
      </c>
      <c r="B6" s="72" t="s">
        <v>837</v>
      </c>
      <c r="C6" s="175" t="s">
        <v>73</v>
      </c>
      <c r="D6" s="917">
        <f>IF(AND(BG060Jaaropgave1_AP&lt;&gt;0,BG060Jaaropgave2_AP&lt;&gt;0),"zie jaarloon (60)",IF(AND(BG060Jaaropgave1_AP&lt;&gt;0,BG060Jaaropgave2_AP=0),Basisgegevens!D59,IF(AND(BG060Jaaropgave1_AP=0,BG060Jaaropgave2_AP&lt;&gt;0),Basisgegevens!D43,Basisgegevens!D43+Basisgegevens!D59)))</f>
        <v>0</v>
      </c>
      <c r="E6" s="2970" t="s">
        <v>242</v>
      </c>
      <c r="F6" s="2970" t="s">
        <v>242</v>
      </c>
      <c r="G6" s="278">
        <f>IF(AND(BG060Jaaropgave1_AG&lt;&gt;0,BG060Jaaropgave2_AG&lt;&gt;0),"zie jaarloon (60)",IF(AND(BG060Jaaropgave1_AG&lt;&gt;0,BG060Jaaropgave2_AG=0),Basisgegevens!F59,IF(AND(BG060Jaaropgave1_AG=0,BG060Jaaropgave2_AG&lt;&gt;0),Basisgegevens!F43,Basisgegevens!F43+Basisgegevens!F59)))</f>
        <v>0</v>
      </c>
      <c r="H6" s="2970" t="s">
        <v>242</v>
      </c>
      <c r="I6" s="2970" t="s">
        <v>242</v>
      </c>
      <c r="J6" s="1520" t="s">
        <v>327</v>
      </c>
      <c r="K6" s="24">
        <v>6</v>
      </c>
    </row>
    <row r="7" spans="1:11" ht="30" customHeight="1" outlineLevel="1" x14ac:dyDescent="0.25">
      <c r="A7" s="70">
        <v>44</v>
      </c>
      <c r="B7" s="73" t="s">
        <v>741</v>
      </c>
      <c r="C7" s="176" t="s">
        <v>73</v>
      </c>
      <c r="D7" s="806">
        <f>IF(AND(BG060Jaaropgave1_AP&lt;&gt;0,BG060Jaaropgave2_AP&lt;&gt;0),"zie jaarloon (60)",IF(AND(BG060Jaaropgave1_AP&lt;&gt;0,BG060Jaaropgave2_AP=0),Basisgegevens!D61,IF(AND(BG060Jaaropgave1_AP=0,BG060Jaaropgave2_AP&lt;&gt;0),Basisgegevens!D45,Basisgegevens!D45+Basisgegevens!D61)))</f>
        <v>0</v>
      </c>
      <c r="E7" s="2953"/>
      <c r="F7" s="2953"/>
      <c r="G7" s="279">
        <f>IF(AND(BG060Jaaropgave1_AG&lt;&gt;0,BG060Jaaropgave2_AG&lt;&gt;0),"zie jaarloon (60)",IF(AND(BG060Jaaropgave1_AG&lt;&gt;0,BG060Jaaropgave2_AG=0),SUM(Basisgegevens!F61+Basisgegevens!F132),IF(AND(BG060Jaaropgave1_AG=0,BG060Jaaropgave2_AG&lt;&gt;0),SUM(Basisgegevens!F45+Basisgegevens!F132),Basisgegevens!F45+Basisgegevens!F61)))</f>
        <v>0</v>
      </c>
      <c r="H7" s="2953"/>
      <c r="I7" s="2953"/>
      <c r="J7" s="1521" t="s">
        <v>147</v>
      </c>
      <c r="K7" s="58">
        <v>7</v>
      </c>
    </row>
    <row r="8" spans="1:11" ht="30" outlineLevel="1" x14ac:dyDescent="0.25">
      <c r="A8" s="70">
        <v>46</v>
      </c>
      <c r="B8" s="73" t="s">
        <v>326</v>
      </c>
      <c r="C8" s="176" t="s">
        <v>73</v>
      </c>
      <c r="D8" s="806">
        <f>IF(AND(BG060Jaaropgave1_AP&lt;&gt;0,BG060Jaaropgave2_AP&lt;&gt;0),"zie jaarloon (60)",IF(AND(BG060Jaaropgave1_AP&lt;&gt;0,BG060Jaaropgave2_AP=0),Basisgegevens!D60,IF(AND(BG060Jaaropgave1_AP=0,BG060Jaaropgave2_AP&lt;&gt;0),Basisgegevens!D44,Basisgegevens!D44+Basisgegevens!D60)))</f>
        <v>0</v>
      </c>
      <c r="E8" s="2953"/>
      <c r="F8" s="2953"/>
      <c r="G8" s="279">
        <f>IF(AND(BG060Jaaropgave1_AG&lt;&gt;0,BG060Jaaropgave2_AG&lt;&gt;0),"zie jaarloon (60)",IF(AND(BG060Jaaropgave1_AG&lt;&gt;0,BG060Jaaropgave2_AG=0),Basisgegevens!F60,IF(AND(BG060Jaaropgave1_AG=0,BG060Jaaropgave2_AG&lt;&gt;0),Basisgegevens!F44,Basisgegevens!F44+Basisgegevens!F60)))</f>
        <v>0</v>
      </c>
      <c r="H8" s="2953"/>
      <c r="I8" s="2953"/>
      <c r="J8" s="1521" t="s">
        <v>144</v>
      </c>
      <c r="K8" s="58">
        <v>8</v>
      </c>
    </row>
    <row r="9" spans="1:11" outlineLevel="1" x14ac:dyDescent="0.25">
      <c r="A9" s="70">
        <v>47</v>
      </c>
      <c r="B9" s="73" t="s">
        <v>999</v>
      </c>
      <c r="C9" s="176" t="s">
        <v>73</v>
      </c>
      <c r="D9" s="806">
        <f>IF(AND(BG060Jaaropgave1_AP&lt;&gt;0,BG060Jaaropgave2_AP&lt;&gt;0),"zie jaarloon (60)",IF(AND(BG060Jaaropgave1_AP&lt;&gt;0,BG060Jaaropgave2_AP=0),Basisgegevens!D63,IF(AND(BG060Jaaropgave1_AP=0,BG060Jaaropgave2_AP&lt;&gt;0),Basisgegevens!D47,Basisgegevens!D47+Basisgegevens!D63)))</f>
        <v>0</v>
      </c>
      <c r="E9" s="2953"/>
      <c r="F9" s="2953"/>
      <c r="G9" s="279">
        <f>IF(AND(BG060Jaaropgave1_AG&lt;&gt;0,BG060Jaaropgave2_AG&lt;&gt;0),"zie jaarloon (60)",IF(AND(BG060Jaaropgave1_AG&lt;&gt;0,BG060Jaaropgave2_AG=0),Basisgegevens!F63,IF(AND(BG060Jaaropgave1_AG=0,BG060Jaaropgave2_AG&lt;&gt;0),Basisgegevens!F47,Basisgegevens!F47+Basisgegevens!F63)))</f>
        <v>0</v>
      </c>
      <c r="H9" s="2953"/>
      <c r="I9" s="2953"/>
      <c r="J9" s="1521"/>
      <c r="K9" s="58">
        <v>9</v>
      </c>
    </row>
    <row r="10" spans="1:11" ht="30" outlineLevel="1" x14ac:dyDescent="0.25">
      <c r="A10" s="70">
        <v>48</v>
      </c>
      <c r="B10" s="73" t="s">
        <v>909</v>
      </c>
      <c r="C10" s="176" t="s">
        <v>73</v>
      </c>
      <c r="D10" s="806">
        <f>IF(AND(BG060Jaaropgave1_AP&lt;&gt;0,BG060Jaaropgave2_AP&lt;&gt;0),"zie jaarloon (60)",IF(AND(BG060Jaaropgave1_AP&lt;&gt;0,BG060Jaaropgave2_AP=0),Basisgegevens!D64,IF(AND(BG060Jaaropgave1_AP=0,BG060Jaaropgave2_AP&lt;&gt;0),Basisgegevens!D48,Basisgegevens!D48+Basisgegevens!D64)))</f>
        <v>0</v>
      </c>
      <c r="E10" s="2953"/>
      <c r="F10" s="2953"/>
      <c r="G10" s="806">
        <f>IF(AND(BG060Jaaropgave1_AG&lt;&gt;0,BG060Jaaropgave2_AG&lt;&gt;0),"zie jaarloon (60)",IF(AND(BG060Jaaropgave1_AG&lt;&gt;0,BG060Jaaropgave2_AG=0),Basisgegevens!F64,IF(AND(BG060Jaaropgave1_AG=0,BG060Jaaropgave2_AG&lt;&gt;0),Basisgegevens!F48,Basisgegevens!F48+Basisgegevens!F64)))</f>
        <v>0</v>
      </c>
      <c r="H10" s="2953"/>
      <c r="I10" s="2953"/>
      <c r="J10" s="1521" t="s">
        <v>146</v>
      </c>
      <c r="K10" s="58">
        <v>10</v>
      </c>
    </row>
    <row r="11" spans="1:11" ht="15.75" outlineLevel="1" thickBot="1" x14ac:dyDescent="0.3">
      <c r="A11" s="137" t="s">
        <v>621</v>
      </c>
      <c r="B11" s="83" t="s">
        <v>623</v>
      </c>
      <c r="C11" s="183" t="s">
        <v>73</v>
      </c>
      <c r="D11" s="1165">
        <f>IF(AND(BG060Jaaropgave1_AP&lt;&gt;0,BG060Jaaropgave2_AP&lt;&gt;0),"zie jaarloon (60)",IF(AND(BG060Jaaropgave1_AP&lt;&gt;0,BG060Jaaropgave2_AP=0),Basisgegevens!D65+Basisgegevens!D66,IF(AND(BG060Jaaropgave1_AP=0,BG060Jaaropgave2_AP&lt;&gt;0),Basisgegevens!D49+Basisgegevens!D50,Basisgegevens!D49+Basisgegevens!D50+Basisgegevens!D65+Basisgegevens!D66)))</f>
        <v>0</v>
      </c>
      <c r="E11" s="2953"/>
      <c r="F11" s="2953"/>
      <c r="G11" s="1165">
        <f>IF(AND(BG060Jaaropgave1_AG&lt;&gt;0,BG060Jaaropgave2_AG&lt;&gt;0),"zie jaarloon (60)",IF(AND(BG060Jaaropgave1_AG&lt;&gt;0,BG060Jaaropgave2_AG=0),Basisgegevens!F65+Basisgegevens!F66,IF(AND(BG060Jaaropgave1_AG=0,BG060Jaaropgave2_AG&lt;&gt;0),Basisgegevens!F49+Basisgegevens!F50,Basisgegevens!F49+Basisgegevens!F50+Basisgegevens!F65+Basisgegevens!F66)))</f>
        <v>0</v>
      </c>
      <c r="H11" s="2953"/>
      <c r="I11" s="2953"/>
      <c r="J11" s="1522" t="s">
        <v>622</v>
      </c>
      <c r="K11" s="152">
        <v>11</v>
      </c>
    </row>
    <row r="12" spans="1:11" ht="15.75" outlineLevel="1" thickBot="1" x14ac:dyDescent="0.3">
      <c r="A12" s="1511"/>
      <c r="B12" s="1516" t="s">
        <v>838</v>
      </c>
      <c r="C12" s="1188"/>
      <c r="D12" s="1189">
        <f>BG041eaArbeidsloon_AP</f>
        <v>0</v>
      </c>
      <c r="E12" s="2953"/>
      <c r="F12" s="2953"/>
      <c r="G12" s="1189">
        <f>BG041eaArbeidsloon_AG</f>
        <v>0</v>
      </c>
      <c r="H12" s="2953"/>
      <c r="I12" s="2953"/>
      <c r="J12" s="1510"/>
      <c r="K12" s="1755">
        <v>12</v>
      </c>
    </row>
    <row r="13" spans="1:11" ht="90.75" outlineLevel="1" thickBot="1" x14ac:dyDescent="0.3">
      <c r="A13" s="1463" t="s">
        <v>787</v>
      </c>
      <c r="B13" s="1464" t="s">
        <v>803</v>
      </c>
      <c r="C13" s="1186"/>
      <c r="D13" s="215" t="s">
        <v>106</v>
      </c>
      <c r="E13" s="2954"/>
      <c r="F13" s="2954"/>
      <c r="G13" s="215" t="s">
        <v>106</v>
      </c>
      <c r="H13" s="2954"/>
      <c r="I13" s="2954"/>
      <c r="J13" s="1509"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5,26% ingehouden worden op het nettoloon. 
Of een DGA als werknemer voor de werknemersverzekeringen wordt beschouwd hangt af van de zeggenschap in de BV. 
==&gt; Check de voorwaarden voordat er Ja wordt ingevuld!</v>
      </c>
      <c r="K13" s="2000">
        <v>13</v>
      </c>
    </row>
    <row r="14" spans="1:11" ht="15.75" thickBot="1" x14ac:dyDescent="0.3">
      <c r="A14" s="1598"/>
      <c r="B14" s="99"/>
      <c r="C14" s="1599"/>
      <c r="D14" s="1580"/>
      <c r="E14" s="849"/>
      <c r="F14" s="849"/>
      <c r="G14" s="1580"/>
      <c r="H14" s="849"/>
      <c r="I14" s="849"/>
      <c r="J14" s="1549"/>
      <c r="K14" s="147">
        <v>14</v>
      </c>
    </row>
    <row r="15" spans="1:11" outlineLevel="1" x14ac:dyDescent="0.25">
      <c r="A15" s="1353">
        <v>42</v>
      </c>
      <c r="B15" s="72" t="s">
        <v>740</v>
      </c>
      <c r="C15" s="175" t="s">
        <v>73</v>
      </c>
      <c r="D15" s="917">
        <f>BG042AOWuitkering_AP</f>
        <v>0</v>
      </c>
      <c r="E15" s="2971" t="s">
        <v>695</v>
      </c>
      <c r="F15" s="2971" t="s">
        <v>695</v>
      </c>
      <c r="G15" s="917">
        <f>BG042AOWuitkering_AG</f>
        <v>0</v>
      </c>
      <c r="H15" s="2971" t="s">
        <v>695</v>
      </c>
      <c r="I15" s="2971" t="s">
        <v>695</v>
      </c>
      <c r="J15" s="1523" t="s">
        <v>148</v>
      </c>
      <c r="K15" s="24">
        <v>15</v>
      </c>
    </row>
    <row r="16" spans="1:11" ht="15" customHeight="1" outlineLevel="1" x14ac:dyDescent="0.25">
      <c r="A16" s="70">
        <v>43</v>
      </c>
      <c r="B16" s="73" t="s">
        <v>790</v>
      </c>
      <c r="C16" s="176" t="s">
        <v>73</v>
      </c>
      <c r="D16" s="806">
        <f>BG043SocVerzWet_AP</f>
        <v>0</v>
      </c>
      <c r="E16" s="2972"/>
      <c r="F16" s="2972"/>
      <c r="G16" s="806">
        <f>BG043SocVerzWet_AG</f>
        <v>0</v>
      </c>
      <c r="H16" s="2972"/>
      <c r="I16" s="2972"/>
      <c r="J16" s="1521" t="s">
        <v>789</v>
      </c>
      <c r="K16" s="58">
        <v>16</v>
      </c>
    </row>
    <row r="17" spans="1:12" ht="45" outlineLevel="1" x14ac:dyDescent="0.25">
      <c r="A17" s="70">
        <v>45</v>
      </c>
      <c r="B17" s="73" t="s">
        <v>742</v>
      </c>
      <c r="C17" s="176" t="s">
        <v>73</v>
      </c>
      <c r="D17" s="806">
        <f>IF(Basisgegevens!D81&gt;0,Basisgegevens!D81,Basisgegevens!D79)</f>
        <v>0</v>
      </c>
      <c r="E17" s="2972"/>
      <c r="F17" s="2972"/>
      <c r="G17" s="806">
        <f>IF(Basisgegevens!F81&gt;0,Basisgegevens!F81,Basisgegevens!F79)</f>
        <v>0</v>
      </c>
      <c r="H17" s="2972"/>
      <c r="I17" s="2972"/>
      <c r="J17" s="1521" t="s">
        <v>173</v>
      </c>
      <c r="K17" s="58">
        <v>17</v>
      </c>
    </row>
    <row r="18" spans="1:12" ht="30" outlineLevel="1" x14ac:dyDescent="0.25">
      <c r="A18" s="70">
        <v>49</v>
      </c>
      <c r="B18" s="73" t="s">
        <v>1056</v>
      </c>
      <c r="C18" s="176" t="s">
        <v>73</v>
      </c>
      <c r="D18" s="280">
        <v>0</v>
      </c>
      <c r="E18" s="2972"/>
      <c r="F18" s="2972"/>
      <c r="G18" s="280">
        <v>0</v>
      </c>
      <c r="H18" s="2972"/>
      <c r="I18" s="2972"/>
      <c r="J18" s="1521" t="s">
        <v>699</v>
      </c>
      <c r="K18" s="58">
        <v>18</v>
      </c>
    </row>
    <row r="19" spans="1:12" ht="30" outlineLevel="1" x14ac:dyDescent="0.25">
      <c r="A19" s="70">
        <v>49</v>
      </c>
      <c r="B19" s="73" t="s">
        <v>59</v>
      </c>
      <c r="C19" s="176" t="s">
        <v>73</v>
      </c>
      <c r="D19" s="806">
        <f>Basisgegevens!D109</f>
        <v>0</v>
      </c>
      <c r="E19" s="2972"/>
      <c r="F19" s="2972"/>
      <c r="G19" s="279">
        <f>Basisgegevens!F109</f>
        <v>0</v>
      </c>
      <c r="H19" s="2972"/>
      <c r="I19" s="2972"/>
      <c r="J19" s="1521" t="s">
        <v>145</v>
      </c>
      <c r="K19" s="58">
        <v>19</v>
      </c>
    </row>
    <row r="20" spans="1:12" ht="15.75" outlineLevel="1" thickBot="1" x14ac:dyDescent="0.3">
      <c r="A20" s="71">
        <v>50</v>
      </c>
      <c r="B20" s="74" t="s">
        <v>60</v>
      </c>
      <c r="C20" s="177" t="s">
        <v>73</v>
      </c>
      <c r="D20" s="993">
        <f>BG050BrutoPensioen_AP</f>
        <v>0</v>
      </c>
      <c r="E20" s="2973"/>
      <c r="F20" s="2973"/>
      <c r="G20" s="993">
        <f>BG050BrutoPensioen_AG</f>
        <v>0</v>
      </c>
      <c r="H20" s="2973"/>
      <c r="I20" s="2973"/>
      <c r="J20" s="1524" t="s">
        <v>149</v>
      </c>
      <c r="K20" s="26">
        <v>20</v>
      </c>
    </row>
    <row r="21" spans="1:12" ht="16.5" thickBot="1" x14ac:dyDescent="0.3">
      <c r="A21" s="1305" t="s">
        <v>677</v>
      </c>
      <c r="B21" s="1600" t="s">
        <v>676</v>
      </c>
      <c r="C21" s="1574"/>
      <c r="D21" s="1171">
        <f>SUM(D12:D20)</f>
        <v>0</v>
      </c>
      <c r="E21" s="1601">
        <f>AL41_50BrutoInkomen_AP</f>
        <v>0</v>
      </c>
      <c r="F21" s="803">
        <f>AL41_50BrutoInkomen_AP</f>
        <v>0</v>
      </c>
      <c r="G21" s="1171">
        <f>SUM(G12:G20)</f>
        <v>0</v>
      </c>
      <c r="H21" s="1575">
        <f>AL41_50BrutoInkomen_AG</f>
        <v>0</v>
      </c>
      <c r="I21" s="803">
        <f>AL41_50BrutoInkomen_AG</f>
        <v>0</v>
      </c>
      <c r="J21" s="1602" t="s">
        <v>143</v>
      </c>
      <c r="K21" s="2001">
        <v>21</v>
      </c>
    </row>
    <row r="22" spans="1:12" x14ac:dyDescent="0.25">
      <c r="A22" s="1604"/>
      <c r="B22" s="1512"/>
      <c r="C22" s="1605"/>
      <c r="D22" s="1606"/>
      <c r="E22" s="1072"/>
      <c r="F22" s="1072"/>
      <c r="G22" s="1606"/>
      <c r="H22" s="1072"/>
      <c r="I22" s="1072"/>
      <c r="J22" s="1540"/>
      <c r="K22" s="1097">
        <v>22</v>
      </c>
    </row>
    <row r="23" spans="1:12" ht="16.5" thickBot="1" x14ac:dyDescent="0.3">
      <c r="A23" s="1607"/>
      <c r="B23" s="1608" t="s">
        <v>731</v>
      </c>
      <c r="C23" s="1609"/>
      <c r="D23" s="1610"/>
      <c r="E23" s="850"/>
      <c r="F23" s="850"/>
      <c r="G23" s="1610"/>
      <c r="H23" s="850"/>
      <c r="I23" s="850"/>
      <c r="J23" s="1529"/>
      <c r="K23" s="324">
        <v>23</v>
      </c>
    </row>
    <row r="24" spans="1:12" x14ac:dyDescent="0.25">
      <c r="A24" s="1286"/>
      <c r="B24" s="1603" t="str">
        <f>Basisgegevens!B27</f>
        <v>Bijtelling volgens salarisstrook</v>
      </c>
      <c r="C24" s="178" t="s">
        <v>73</v>
      </c>
      <c r="D24" s="812">
        <f>Basisgegevens!D27</f>
        <v>0</v>
      </c>
      <c r="E24" s="2976" t="s">
        <v>242</v>
      </c>
      <c r="F24" s="2976" t="s">
        <v>242</v>
      </c>
      <c r="G24" s="812">
        <f>Basisgegevens!F27</f>
        <v>0</v>
      </c>
      <c r="H24" s="2963" t="s">
        <v>242</v>
      </c>
      <c r="I24" s="2958" t="s">
        <v>242</v>
      </c>
      <c r="J24" s="1559"/>
      <c r="K24" s="59">
        <v>24</v>
      </c>
    </row>
    <row r="25" spans="1:12" ht="15.75" thickBot="1" x14ac:dyDescent="0.3">
      <c r="A25" s="1287"/>
      <c r="B25" s="253" t="str">
        <f>Basisgegevens!B28</f>
        <v>Eigen bijdrage</v>
      </c>
      <c r="C25" s="176" t="s">
        <v>68</v>
      </c>
      <c r="D25" s="279">
        <f>Basisgegevens!D28</f>
        <v>0</v>
      </c>
      <c r="E25" s="2977"/>
      <c r="F25" s="2977"/>
      <c r="G25" s="279">
        <f>Basisgegevens!F28</f>
        <v>0</v>
      </c>
      <c r="H25" s="2961"/>
      <c r="I25" s="2961"/>
      <c r="J25" s="1526"/>
      <c r="K25" s="58">
        <v>25</v>
      </c>
    </row>
    <row r="26" spans="1:12" ht="15.75" thickBot="1" x14ac:dyDescent="0.3">
      <c r="A26" s="1288"/>
      <c r="B26" s="407" t="str">
        <f>Basisgegevens!B29</f>
        <v>Bijtelling auto van de zaak</v>
      </c>
      <c r="C26" s="175" t="s">
        <v>73</v>
      </c>
      <c r="D26" s="281">
        <f>Basisgegevens!D29</f>
        <v>0</v>
      </c>
      <c r="E26" s="2978"/>
      <c r="F26" s="2978"/>
      <c r="G26" s="281">
        <f>Basisgegevens!F29</f>
        <v>0</v>
      </c>
      <c r="H26" s="2962"/>
      <c r="I26" s="2962"/>
      <c r="J26" s="1527"/>
      <c r="K26" s="26">
        <v>26</v>
      </c>
    </row>
    <row r="27" spans="1:12" ht="15.75" thickBot="1" x14ac:dyDescent="0.3">
      <c r="A27" s="1082"/>
      <c r="B27" s="1611"/>
      <c r="C27" s="1485"/>
      <c r="D27" s="1171">
        <f>AL41_50BrutoInkomen_AP+D26</f>
        <v>0</v>
      </c>
      <c r="E27" s="1072"/>
      <c r="F27" s="1072"/>
      <c r="G27" s="1171">
        <f>AL41_50BrutoInkomen_AG+G26</f>
        <v>0</v>
      </c>
      <c r="H27" s="1073"/>
      <c r="I27" s="2313"/>
      <c r="J27" s="1612"/>
      <c r="K27" s="1097">
        <v>27</v>
      </c>
    </row>
    <row r="28" spans="1:12" ht="15.75" thickBot="1" x14ac:dyDescent="0.3">
      <c r="A28" s="1598"/>
      <c r="B28" s="1613"/>
      <c r="C28" s="1599"/>
      <c r="D28" s="1580"/>
      <c r="E28" s="849"/>
      <c r="F28" s="849"/>
      <c r="G28" s="1580"/>
      <c r="H28" s="849"/>
      <c r="I28" s="849"/>
      <c r="J28" s="1528"/>
      <c r="K28" s="147">
        <v>28</v>
      </c>
    </row>
    <row r="29" spans="1:12" s="89" customFormat="1" ht="19.5" thickBot="1" x14ac:dyDescent="0.3">
      <c r="A29" s="1628"/>
      <c r="B29" s="1629" t="s">
        <v>268</v>
      </c>
      <c r="C29" s="1630"/>
      <c r="D29" s="1631"/>
      <c r="E29" s="1631"/>
      <c r="F29" s="1631"/>
      <c r="G29" s="1631"/>
      <c r="H29" s="1631"/>
      <c r="I29" s="1631"/>
      <c r="J29" s="1996"/>
      <c r="K29" s="1719">
        <v>29</v>
      </c>
      <c r="L29" s="1"/>
    </row>
    <row r="30" spans="1:12" outlineLevel="1" x14ac:dyDescent="0.25">
      <c r="A30" s="1285">
        <v>51</v>
      </c>
      <c r="B30" s="72" t="s">
        <v>61</v>
      </c>
      <c r="C30" s="175" t="s">
        <v>68</v>
      </c>
      <c r="D30" s="917">
        <f>IF(Basisgegevens!D110="Zie jaarloon (60)",Basisgegevens!D125+Basisgegevens!D134,Basisgegevens!D110+Basisgegevens!D125+Basisgegevens!D134)</f>
        <v>0</v>
      </c>
      <c r="E30" s="1206" t="s">
        <v>242</v>
      </c>
      <c r="F30" s="1206" t="s">
        <v>242</v>
      </c>
      <c r="G30" s="917">
        <f>IF(Basisgegevens!F110="Zie jaarloon (60)",Basisgegevens!F125+Basisgegevens!F134,Basisgegevens!F110+Basisgegevens!F125+Basisgegevens!F134)</f>
        <v>0</v>
      </c>
      <c r="H30" s="1062" t="s">
        <v>242</v>
      </c>
      <c r="I30" s="1062" t="s">
        <v>242</v>
      </c>
      <c r="J30" s="1489" t="s">
        <v>150</v>
      </c>
      <c r="K30" s="24">
        <v>30</v>
      </c>
    </row>
    <row r="31" spans="1:12" ht="45" outlineLevel="1" x14ac:dyDescent="0.25">
      <c r="A31" s="1287" t="s">
        <v>836</v>
      </c>
      <c r="B31" s="73" t="str">
        <f>"Premie vrijwillige nettopensioensregeling voor inkomens hoger dan € "&amp;Basisgegevens!C216&amp;
" (De bruto inkomsten zijn: € "&amp;ROUND(D12,0)&amp;" / € "&amp;ROUND(G12,0)&amp;", de afgedragen premie komt terug bij 119b)"</f>
        <v>Premie vrijwillige nettopensioensregeling voor inkomens hoger dan € 137800 (De bruto inkomsten zijn: € 0 / € 0, de afgedragen premie komt terug bij 119b)</v>
      </c>
      <c r="C31" s="176"/>
      <c r="D31" s="1184"/>
      <c r="E31" s="280">
        <v>0</v>
      </c>
      <c r="F31" s="280">
        <f>AL51aPensioenSparen_AP</f>
        <v>0</v>
      </c>
      <c r="G31" s="1184"/>
      <c r="H31" s="280">
        <v>0</v>
      </c>
      <c r="I31" s="280">
        <v>0</v>
      </c>
      <c r="J31" s="1530" t="str">
        <f>"Bij een pensioengevend salaris wordt er boven de € "&amp;Basisgegevens!C216&amp;" geen pensioen opgebouwd. De netto pensioenregeling is een vrijwillige regeling waarmee het pensioen daarboven opgebouwd wordt."</f>
        <v>Bij een pensioengevend salaris wordt er boven de € 137800 geen pensioen opgebouwd. De netto pensioenregeling is een vrijwillige regeling waarmee het pensioen daarboven opgebouwd wordt.</v>
      </c>
      <c r="K31" s="58">
        <v>31</v>
      </c>
    </row>
    <row r="32" spans="1:12" outlineLevel="1" x14ac:dyDescent="0.25">
      <c r="A32" s="1287">
        <v>52</v>
      </c>
      <c r="B32" s="73" t="s">
        <v>62</v>
      </c>
      <c r="C32" s="176" t="s">
        <v>68</v>
      </c>
      <c r="D32" s="806">
        <f>Basisgegevens!D111</f>
        <v>0</v>
      </c>
      <c r="E32" s="2981" t="s">
        <v>242</v>
      </c>
      <c r="F32" s="2981" t="s">
        <v>242</v>
      </c>
      <c r="G32" s="279">
        <f>Basisgegevens!F111</f>
        <v>0</v>
      </c>
      <c r="H32" s="2981" t="s">
        <v>242</v>
      </c>
      <c r="I32" s="2981" t="s">
        <v>242</v>
      </c>
      <c r="J32" s="1530"/>
      <c r="K32" s="58">
        <v>32</v>
      </c>
    </row>
    <row r="33" spans="1:11" ht="30.75" outlineLevel="1" thickBot="1" x14ac:dyDescent="0.3">
      <c r="A33" s="1288">
        <v>53</v>
      </c>
      <c r="B33" s="74" t="s">
        <v>65</v>
      </c>
      <c r="C33" s="177" t="s">
        <v>68</v>
      </c>
      <c r="D33" s="993">
        <f>Basisgegevens!D112</f>
        <v>0</v>
      </c>
      <c r="E33" s="2982"/>
      <c r="F33" s="2982"/>
      <c r="G33" s="281">
        <f>Basisgegevens!F112</f>
        <v>0</v>
      </c>
      <c r="H33" s="2982"/>
      <c r="I33" s="2982"/>
      <c r="J33" s="1490" t="s">
        <v>141</v>
      </c>
      <c r="K33" s="26">
        <v>33</v>
      </c>
    </row>
    <row r="34" spans="1:11" ht="16.5" thickBot="1" x14ac:dyDescent="0.3">
      <c r="A34" s="1305">
        <v>54</v>
      </c>
      <c r="B34" s="1600" t="s">
        <v>270</v>
      </c>
      <c r="C34" s="1614" t="s">
        <v>18</v>
      </c>
      <c r="D34" s="1171">
        <f>AL41_50BrutoInkomen_AP-SUM(D30:D33)</f>
        <v>0</v>
      </c>
      <c r="E34" s="1601">
        <f>AL54LoonvoorPremies_AP</f>
        <v>0</v>
      </c>
      <c r="F34" s="803">
        <f>AL54LoonvoorPremies_AP</f>
        <v>0</v>
      </c>
      <c r="G34" s="1171">
        <f>AL41_50BrutoInkomen_AG-SUM(G30:G33)</f>
        <v>0</v>
      </c>
      <c r="H34" s="1575">
        <f>AL54LoonvoorPremies_AG</f>
        <v>0</v>
      </c>
      <c r="I34" s="803">
        <f>AL54LoonvoorPremies_AG</f>
        <v>0</v>
      </c>
      <c r="J34" s="1602" t="s">
        <v>142</v>
      </c>
      <c r="K34" s="2001">
        <v>34</v>
      </c>
    </row>
    <row r="35" spans="1:11" outlineLevel="1" x14ac:dyDescent="0.25">
      <c r="A35" s="1604"/>
      <c r="B35" s="1512"/>
      <c r="C35" s="1615"/>
      <c r="D35" s="1606"/>
      <c r="E35" s="1072"/>
      <c r="F35" s="1072"/>
      <c r="G35" s="1606"/>
      <c r="H35" s="1072"/>
      <c r="I35" s="1072"/>
      <c r="J35" s="1540"/>
      <c r="K35" s="1097">
        <v>35</v>
      </c>
    </row>
    <row r="36" spans="1:11" ht="16.5" outlineLevel="1" thickBot="1" x14ac:dyDescent="0.3">
      <c r="A36" s="1607"/>
      <c r="B36" s="1620" t="s">
        <v>74</v>
      </c>
      <c r="C36" s="1616"/>
      <c r="D36" s="1610"/>
      <c r="E36" s="850"/>
      <c r="F36" s="850"/>
      <c r="G36" s="1610"/>
      <c r="H36" s="850"/>
      <c r="I36" s="850"/>
      <c r="J36" s="1714"/>
      <c r="K36" s="324">
        <v>36</v>
      </c>
    </row>
    <row r="37" spans="1:11" ht="30" outlineLevel="1" x14ac:dyDescent="0.25">
      <c r="A37" s="1286">
        <v>55</v>
      </c>
      <c r="B37" s="75" t="s">
        <v>63</v>
      </c>
      <c r="C37" s="178" t="s">
        <v>68</v>
      </c>
      <c r="D37" s="1071">
        <f>Basisgegevens!D115</f>
        <v>0</v>
      </c>
      <c r="E37" s="2976" t="s">
        <v>242</v>
      </c>
      <c r="F37" s="2976" t="s">
        <v>242</v>
      </c>
      <c r="G37" s="1071">
        <f>Basisgegevens!F115</f>
        <v>0</v>
      </c>
      <c r="H37" s="2963" t="s">
        <v>242</v>
      </c>
      <c r="I37" s="2963" t="s">
        <v>242</v>
      </c>
      <c r="J37" s="1539" t="s">
        <v>139</v>
      </c>
      <c r="K37" s="59">
        <v>37</v>
      </c>
    </row>
    <row r="38" spans="1:11" ht="30.75" outlineLevel="1" thickBot="1" x14ac:dyDescent="0.3">
      <c r="A38" s="1290">
        <v>56</v>
      </c>
      <c r="B38" s="83" t="s">
        <v>64</v>
      </c>
      <c r="C38" s="183" t="s">
        <v>68</v>
      </c>
      <c r="D38" s="814">
        <f>Basisgegevens!D114</f>
        <v>0</v>
      </c>
      <c r="E38" s="2979"/>
      <c r="F38" s="2979"/>
      <c r="G38" s="814">
        <f>Basisgegevens!F114</f>
        <v>0</v>
      </c>
      <c r="H38" s="2980"/>
      <c r="I38" s="2980"/>
      <c r="J38" s="1531" t="s">
        <v>140</v>
      </c>
      <c r="K38" s="152">
        <v>38</v>
      </c>
    </row>
    <row r="39" spans="1:11" outlineLevel="1" x14ac:dyDescent="0.25">
      <c r="A39" s="1604"/>
      <c r="B39" s="1512"/>
      <c r="C39" s="1605"/>
      <c r="D39" s="1606"/>
      <c r="E39" s="1072"/>
      <c r="F39" s="1072"/>
      <c r="G39" s="1606"/>
      <c r="H39" s="1072"/>
      <c r="I39" s="1072"/>
      <c r="J39" s="1540"/>
      <c r="K39" s="1097">
        <v>39</v>
      </c>
    </row>
    <row r="40" spans="1:11" ht="16.5" outlineLevel="1" thickBot="1" x14ac:dyDescent="0.3">
      <c r="A40" s="1607"/>
      <c r="B40" s="1620" t="s">
        <v>66</v>
      </c>
      <c r="C40" s="1609"/>
      <c r="D40" s="1610"/>
      <c r="E40" s="850"/>
      <c r="F40" s="850"/>
      <c r="G40" s="1610"/>
      <c r="H40" s="850"/>
      <c r="I40" s="850"/>
      <c r="J40" s="1714"/>
      <c r="K40" s="324">
        <v>40</v>
      </c>
    </row>
    <row r="41" spans="1:11" ht="45" outlineLevel="1" x14ac:dyDescent="0.25">
      <c r="A41" s="1286">
        <v>57</v>
      </c>
      <c r="B41" s="75" t="s">
        <v>859</v>
      </c>
      <c r="C41" s="178" t="s">
        <v>68</v>
      </c>
      <c r="D41" s="814">
        <v>0</v>
      </c>
      <c r="E41" s="1617" t="s">
        <v>242</v>
      </c>
      <c r="F41" s="1617" t="s">
        <v>242</v>
      </c>
      <c r="G41" s="814">
        <v>0</v>
      </c>
      <c r="H41" s="1617" t="s">
        <v>242</v>
      </c>
      <c r="I41" s="1617" t="s">
        <v>242</v>
      </c>
      <c r="J41" s="1539" t="s">
        <v>152</v>
      </c>
      <c r="K41" s="59">
        <v>41</v>
      </c>
    </row>
    <row r="42" spans="1:11" outlineLevel="1" x14ac:dyDescent="0.25">
      <c r="A42" s="1290" t="s">
        <v>796</v>
      </c>
      <c r="B42" s="83" t="str">
        <f>"Als DGA af te dragen premie ZVW over €"&amp;ROUND(BG041eaArbeidsloon_AP,0)&amp;" (AP) € "&amp;ROUND(BG041eaArbeidsloon_AG,0)&amp;" (AG) (wordt verwerkt bij post 119b)"</f>
        <v>Als DGA af te dragen premie ZVW over €0 (AP) € 0 (AG) (wordt verwerkt bij post 119b)</v>
      </c>
      <c r="C42" s="183"/>
      <c r="D42" s="1203"/>
      <c r="E42" s="1071">
        <f>IF(AL41DGA_AP="Ja",E203,0)</f>
        <v>0</v>
      </c>
      <c r="F42" s="1203"/>
      <c r="G42" s="1203"/>
      <c r="H42" s="1071">
        <f>IF(AL41DGA_AG="Ja",H203,0)</f>
        <v>0</v>
      </c>
      <c r="I42" s="1203"/>
      <c r="J42" s="1531" t="s">
        <v>894</v>
      </c>
      <c r="K42" s="152">
        <v>42</v>
      </c>
    </row>
    <row r="43" spans="1:11" ht="30.75" outlineLevel="1" thickBot="1" x14ac:dyDescent="0.3">
      <c r="A43" s="1288">
        <v>58</v>
      </c>
      <c r="B43" s="74" t="s">
        <v>67</v>
      </c>
      <c r="C43" s="177" t="s">
        <v>73</v>
      </c>
      <c r="D43" s="993">
        <f>Basisgegevens!D117</f>
        <v>0</v>
      </c>
      <c r="E43" s="1471" t="s">
        <v>695</v>
      </c>
      <c r="F43" s="1471" t="s">
        <v>695</v>
      </c>
      <c r="G43" s="281">
        <f>Basisgegevens!F117</f>
        <v>0</v>
      </c>
      <c r="H43" s="1471" t="s">
        <v>695</v>
      </c>
      <c r="I43" s="1471" t="s">
        <v>695</v>
      </c>
      <c r="J43" s="1490" t="s">
        <v>138</v>
      </c>
      <c r="K43" s="26">
        <v>43</v>
      </c>
    </row>
    <row r="44" spans="1:11" ht="16.5" thickBot="1" x14ac:dyDescent="0.3">
      <c r="A44" s="1305">
        <v>59</v>
      </c>
      <c r="B44" s="1600" t="s">
        <v>194</v>
      </c>
      <c r="C44" s="1574"/>
      <c r="D44" s="1171">
        <f>D34-SUM(D37:D41)+SUBSTITUTE(D43,"zie jaarloon (60)",0)</f>
        <v>0</v>
      </c>
      <c r="E44" s="1601">
        <f>AL59Arbeidsinkomen_AP</f>
        <v>0</v>
      </c>
      <c r="F44" s="803">
        <f>AL59Arbeidsinkomen_AP</f>
        <v>0</v>
      </c>
      <c r="G44" s="1171">
        <f>G34-SUM(G37:G41)+SUBSTITUTE(G43,"zie jaarloon (60)",0)</f>
        <v>0</v>
      </c>
      <c r="H44" s="1575">
        <f>AL59Arbeidsinkomen_AG</f>
        <v>0</v>
      </c>
      <c r="I44" s="1575">
        <f>AL59Arbeidsinkomen_AG</f>
        <v>0</v>
      </c>
      <c r="J44" s="1602" t="s">
        <v>151</v>
      </c>
      <c r="K44" s="2001">
        <v>44</v>
      </c>
    </row>
    <row r="45" spans="1:11" outlineLevel="1" x14ac:dyDescent="0.25">
      <c r="A45" s="1604"/>
      <c r="B45" s="1512"/>
      <c r="C45" s="1605"/>
      <c r="D45" s="1606"/>
      <c r="E45" s="1072"/>
      <c r="F45" s="1072"/>
      <c r="G45" s="1606"/>
      <c r="H45" s="1072"/>
      <c r="I45" s="1072"/>
      <c r="J45" s="1540"/>
      <c r="K45" s="1097">
        <v>45</v>
      </c>
    </row>
    <row r="46" spans="1:11" ht="16.5" outlineLevel="1" thickBot="1" x14ac:dyDescent="0.3">
      <c r="A46" s="1607"/>
      <c r="B46" s="1620" t="s">
        <v>75</v>
      </c>
      <c r="C46" s="1609"/>
      <c r="D46" s="1610"/>
      <c r="E46" s="850"/>
      <c r="F46" s="850"/>
      <c r="G46" s="1610"/>
      <c r="H46" s="850"/>
      <c r="I46" s="850"/>
      <c r="J46" s="1714"/>
      <c r="K46" s="324">
        <v>46</v>
      </c>
    </row>
    <row r="47" spans="1:11" outlineLevel="1" x14ac:dyDescent="0.25">
      <c r="A47" s="1286"/>
      <c r="B47" s="1618" t="str">
        <f>Basisgegevens!B33</f>
        <v>Loon volgens jaaropgave werkgever 1 (= dienstbetrekking)</v>
      </c>
      <c r="C47" s="1619" t="s">
        <v>73</v>
      </c>
      <c r="D47" s="1133">
        <f>BG060Jaaropgave1_AP</f>
        <v>0</v>
      </c>
      <c r="E47" s="1617"/>
      <c r="F47" s="1617"/>
      <c r="G47" s="812">
        <f>BG060Jaaropgave1_AG</f>
        <v>0</v>
      </c>
      <c r="H47" s="2306"/>
      <c r="I47" s="2306"/>
      <c r="J47" s="2974" t="s">
        <v>703</v>
      </c>
      <c r="K47" s="59">
        <v>47</v>
      </c>
    </row>
    <row r="48" spans="1:11" outlineLevel="1" x14ac:dyDescent="0.25">
      <c r="A48" s="1287"/>
      <c r="B48" s="314" t="s">
        <v>671</v>
      </c>
      <c r="C48" s="1134" t="s">
        <v>68</v>
      </c>
      <c r="D48" s="1138">
        <f>IF(BG060Jaaropgave1_AP+BG060Jaaropgave2_AP&lt;=0,0,BG060BijtellingAuto_AP)</f>
        <v>0</v>
      </c>
      <c r="E48" s="2402"/>
      <c r="F48" s="2402"/>
      <c r="G48" s="820">
        <f>IF(BG060Jaaropgave1_AG+BG060Jaaropgave2_AG&lt;=0,0,BG060BijtellingAuto_AG)</f>
        <v>0</v>
      </c>
      <c r="H48" s="2442"/>
      <c r="I48" s="2442"/>
      <c r="J48" s="2975"/>
      <c r="K48" s="58">
        <v>48</v>
      </c>
    </row>
    <row r="49" spans="1:11" ht="15.75" outlineLevel="1" thickBot="1" x14ac:dyDescent="0.3">
      <c r="A49" s="1290"/>
      <c r="B49" s="1214" t="str">
        <f>Basisgegevens!B35</f>
        <v>Loon volgens jaaropgave werkgever 2 (= dienstbetrekking)</v>
      </c>
      <c r="C49" s="1215" t="s">
        <v>73</v>
      </c>
      <c r="D49" s="1139">
        <f>BG060Jaaropgave2_AP</f>
        <v>0</v>
      </c>
      <c r="E49" s="835"/>
      <c r="F49" s="835"/>
      <c r="G49" s="814">
        <f>BG060Jaaropgave2_AG</f>
        <v>0</v>
      </c>
      <c r="H49" s="807"/>
      <c r="I49" s="807"/>
      <c r="J49" s="2975"/>
      <c r="K49" s="152">
        <v>49</v>
      </c>
    </row>
    <row r="50" spans="1:11" ht="30.6" customHeight="1" thickBot="1" x14ac:dyDescent="0.3">
      <c r="A50" s="1289">
        <v>60</v>
      </c>
      <c r="B50" s="1216" t="s">
        <v>679</v>
      </c>
      <c r="C50" s="172"/>
      <c r="D50" s="811">
        <f>IF(BG060Jaaropgave1_AP+BG060Jaaropgave2_AP-D48&lt;=0,0,D47-D48+D49)</f>
        <v>0</v>
      </c>
      <c r="E50" s="852" t="s">
        <v>242</v>
      </c>
      <c r="F50" s="852" t="s">
        <v>242</v>
      </c>
      <c r="G50" s="811">
        <f>IF(BG060Jaaropgave1_AG+BG060Jaaropgave2_AG-G48&lt;=0,0,G47-G48+G49)</f>
        <v>0</v>
      </c>
      <c r="H50" s="837" t="s">
        <v>242</v>
      </c>
      <c r="I50" s="837" t="s">
        <v>242</v>
      </c>
      <c r="J50" s="1532"/>
      <c r="K50" s="538">
        <v>50</v>
      </c>
    </row>
    <row r="51" spans="1:11" ht="15.75" thickBot="1" x14ac:dyDescent="0.3">
      <c r="A51" s="1292"/>
      <c r="B51" s="289"/>
      <c r="C51" s="385"/>
      <c r="D51" s="840"/>
      <c r="E51" s="850"/>
      <c r="F51" s="850"/>
      <c r="G51" s="840"/>
      <c r="H51" s="804"/>
      <c r="I51" s="804"/>
      <c r="J51" s="1533"/>
      <c r="K51" s="324">
        <v>51</v>
      </c>
    </row>
    <row r="52" spans="1:11" ht="19.5" thickBot="1" x14ac:dyDescent="0.3">
      <c r="A52" s="1628"/>
      <c r="B52" s="1629" t="s">
        <v>5</v>
      </c>
      <c r="C52" s="1630"/>
      <c r="D52" s="1631"/>
      <c r="E52" s="1631"/>
      <c r="F52" s="1631"/>
      <c r="G52" s="1631"/>
      <c r="H52" s="1631"/>
      <c r="I52" s="1631"/>
      <c r="J52" s="1996"/>
      <c r="K52" s="2002">
        <v>52</v>
      </c>
    </row>
    <row r="53" spans="1:11" outlineLevel="1" x14ac:dyDescent="0.25">
      <c r="A53" s="1285">
        <v>61</v>
      </c>
      <c r="B53" s="515" t="s">
        <v>6</v>
      </c>
      <c r="C53" s="175" t="s">
        <v>68</v>
      </c>
      <c r="D53" s="841">
        <v>0</v>
      </c>
      <c r="E53" s="2955" t="s">
        <v>242</v>
      </c>
      <c r="F53" s="2955" t="s">
        <v>242</v>
      </c>
      <c r="G53" s="841">
        <v>0</v>
      </c>
      <c r="H53" s="2958" t="s">
        <v>242</v>
      </c>
      <c r="I53" s="2958" t="s">
        <v>242</v>
      </c>
      <c r="J53" s="1534" t="s">
        <v>204</v>
      </c>
      <c r="K53" s="24">
        <v>53</v>
      </c>
    </row>
    <row r="54" spans="1:11" ht="30" outlineLevel="1" x14ac:dyDescent="0.25">
      <c r="A54" s="1287">
        <v>62</v>
      </c>
      <c r="B54" s="73" t="s">
        <v>162</v>
      </c>
      <c r="C54" s="176" t="s">
        <v>68</v>
      </c>
      <c r="D54" s="280">
        <v>0</v>
      </c>
      <c r="E54" s="2956"/>
      <c r="F54" s="2956"/>
      <c r="G54" s="280">
        <v>0</v>
      </c>
      <c r="H54" s="2959"/>
      <c r="I54" s="2959"/>
      <c r="J54" s="1530" t="s">
        <v>153</v>
      </c>
      <c r="K54" s="58">
        <v>54</v>
      </c>
    </row>
    <row r="55" spans="1:11" ht="15.75" outlineLevel="1" thickBot="1" x14ac:dyDescent="0.3">
      <c r="A55" s="1288">
        <v>63</v>
      </c>
      <c r="B55" s="516" t="s">
        <v>7</v>
      </c>
      <c r="C55" s="181" t="s">
        <v>68</v>
      </c>
      <c r="D55" s="808">
        <v>0</v>
      </c>
      <c r="E55" s="2957"/>
      <c r="F55" s="2957"/>
      <c r="G55" s="808">
        <v>0</v>
      </c>
      <c r="H55" s="2960"/>
      <c r="I55" s="2960"/>
      <c r="J55" s="1535" t="s">
        <v>204</v>
      </c>
      <c r="K55" s="26">
        <v>55</v>
      </c>
    </row>
    <row r="56" spans="1:11" ht="16.5" thickBot="1" x14ac:dyDescent="0.3">
      <c r="A56" s="1289">
        <v>64</v>
      </c>
      <c r="B56" s="165" t="s">
        <v>14</v>
      </c>
      <c r="C56" s="172" t="s">
        <v>76</v>
      </c>
      <c r="D56" s="811">
        <f>(D44+D50)-SUM(D53:D55)</f>
        <v>0</v>
      </c>
      <c r="E56" s="848">
        <f>AL64BelastbaarLoon_AP</f>
        <v>0</v>
      </c>
      <c r="F56" s="803">
        <f>E56</f>
        <v>0</v>
      </c>
      <c r="G56" s="811">
        <f>(G44+G50)-SUM(G53:G55)</f>
        <v>0</v>
      </c>
      <c r="H56" s="803">
        <f>AL64BelastbaarLoon_AG</f>
        <v>0</v>
      </c>
      <c r="I56" s="803">
        <f>AL64BelastbaarLoon_AG</f>
        <v>0</v>
      </c>
      <c r="J56" s="1525" t="s">
        <v>524</v>
      </c>
      <c r="K56" s="538">
        <v>56</v>
      </c>
    </row>
    <row r="57" spans="1:11" ht="15.75" thickBot="1" x14ac:dyDescent="0.3">
      <c r="A57" s="1192"/>
      <c r="B57" s="370"/>
      <c r="C57" s="171"/>
      <c r="D57" s="817"/>
      <c r="E57" s="854"/>
      <c r="F57" s="854"/>
      <c r="G57" s="817"/>
      <c r="H57" s="809"/>
      <c r="I57" s="809"/>
      <c r="J57" s="1536"/>
      <c r="K57" s="298">
        <v>57</v>
      </c>
    </row>
    <row r="58" spans="1:11" ht="19.5" thickBot="1" x14ac:dyDescent="0.3">
      <c r="A58" s="1628"/>
      <c r="B58" s="1629" t="s">
        <v>9</v>
      </c>
      <c r="C58" s="1630"/>
      <c r="D58" s="1631"/>
      <c r="E58" s="1631"/>
      <c r="F58" s="1631"/>
      <c r="G58" s="1631"/>
      <c r="H58" s="1631"/>
      <c r="I58" s="1631"/>
      <c r="J58" s="1996"/>
      <c r="K58" s="1882">
        <v>58</v>
      </c>
    </row>
    <row r="59" spans="1:11" outlineLevel="1" x14ac:dyDescent="0.25">
      <c r="A59" s="1285">
        <v>65</v>
      </c>
      <c r="B59" s="72" t="s">
        <v>700</v>
      </c>
      <c r="C59" s="175" t="s">
        <v>73</v>
      </c>
      <c r="D59" s="31">
        <v>0</v>
      </c>
      <c r="E59" s="2955" t="s">
        <v>242</v>
      </c>
      <c r="F59" s="2955" t="s">
        <v>242</v>
      </c>
      <c r="G59" s="31">
        <v>0</v>
      </c>
      <c r="H59" s="2958" t="s">
        <v>242</v>
      </c>
      <c r="I59" s="2958" t="s">
        <v>242</v>
      </c>
      <c r="J59" s="1489"/>
      <c r="K59" s="24">
        <v>59</v>
      </c>
    </row>
    <row r="60" spans="1:11" outlineLevel="1" x14ac:dyDescent="0.25">
      <c r="A60" s="1287" t="s">
        <v>271</v>
      </c>
      <c r="B60" s="73" t="s">
        <v>910</v>
      </c>
      <c r="C60" s="176" t="s">
        <v>73</v>
      </c>
      <c r="D60" s="280">
        <v>0</v>
      </c>
      <c r="E60" s="2977"/>
      <c r="F60" s="2977"/>
      <c r="G60" s="280">
        <v>0</v>
      </c>
      <c r="H60" s="2961"/>
      <c r="I60" s="2961"/>
      <c r="J60" s="1530"/>
      <c r="K60" s="58">
        <v>60</v>
      </c>
    </row>
    <row r="61" spans="1:11" outlineLevel="1" x14ac:dyDescent="0.25">
      <c r="A61" s="1287"/>
      <c r="B61" s="333" t="s">
        <v>331</v>
      </c>
      <c r="C61" s="338"/>
      <c r="D61" s="279">
        <f>SUM(D59:D60)</f>
        <v>0</v>
      </c>
      <c r="E61" s="2977"/>
      <c r="F61" s="2977"/>
      <c r="G61" s="279">
        <f>SUM(G59:G60)</f>
        <v>0</v>
      </c>
      <c r="H61" s="2961"/>
      <c r="I61" s="2961"/>
      <c r="J61" s="1530"/>
      <c r="K61" s="58">
        <v>61</v>
      </c>
    </row>
    <row r="62" spans="1:11" outlineLevel="1" x14ac:dyDescent="0.25">
      <c r="A62" s="1287">
        <v>66</v>
      </c>
      <c r="B62" s="79" t="s">
        <v>10</v>
      </c>
      <c r="C62" s="176" t="s">
        <v>73</v>
      </c>
      <c r="D62" s="280">
        <v>0</v>
      </c>
      <c r="E62" s="2977"/>
      <c r="F62" s="2977"/>
      <c r="G62" s="280">
        <v>0</v>
      </c>
      <c r="H62" s="2961"/>
      <c r="I62" s="2961"/>
      <c r="J62" s="1530"/>
      <c r="K62" s="58">
        <v>62</v>
      </c>
    </row>
    <row r="63" spans="1:11" outlineLevel="1" x14ac:dyDescent="0.25">
      <c r="A63" s="1287">
        <v>67</v>
      </c>
      <c r="B63" s="79" t="s">
        <v>11</v>
      </c>
      <c r="C63" s="176" t="s">
        <v>68</v>
      </c>
      <c r="D63" s="280">
        <v>0</v>
      </c>
      <c r="E63" s="2977"/>
      <c r="F63" s="2977"/>
      <c r="G63" s="280">
        <v>0</v>
      </c>
      <c r="H63" s="2961"/>
      <c r="I63" s="2961"/>
      <c r="J63" s="1530"/>
      <c r="K63" s="58">
        <v>63</v>
      </c>
    </row>
    <row r="64" spans="1:11" outlineLevel="1" x14ac:dyDescent="0.25">
      <c r="A64" s="1287">
        <v>68</v>
      </c>
      <c r="B64" s="513" t="s">
        <v>12</v>
      </c>
      <c r="C64" s="176" t="s">
        <v>68</v>
      </c>
      <c r="D64" s="818">
        <v>0</v>
      </c>
      <c r="E64" s="2977"/>
      <c r="F64" s="2977"/>
      <c r="G64" s="818">
        <v>0</v>
      </c>
      <c r="H64" s="2961"/>
      <c r="I64" s="2961"/>
      <c r="J64" s="1537" t="s">
        <v>204</v>
      </c>
      <c r="K64" s="58">
        <v>64</v>
      </c>
    </row>
    <row r="65" spans="1:11" ht="15.75" outlineLevel="1" thickBot="1" x14ac:dyDescent="0.3">
      <c r="A65" s="1288">
        <v>69</v>
      </c>
      <c r="B65" s="295" t="s">
        <v>911</v>
      </c>
      <c r="C65" s="177" t="s">
        <v>68</v>
      </c>
      <c r="D65" s="842">
        <v>0</v>
      </c>
      <c r="E65" s="2978"/>
      <c r="F65" s="2978"/>
      <c r="G65" s="842">
        <v>0</v>
      </c>
      <c r="H65" s="2962"/>
      <c r="I65" s="2962"/>
      <c r="J65" s="1490"/>
      <c r="K65" s="26">
        <v>65</v>
      </c>
    </row>
    <row r="66" spans="1:11" ht="16.5" thickBot="1" x14ac:dyDescent="0.3">
      <c r="A66" s="1293">
        <v>70</v>
      </c>
      <c r="B66" s="359" t="s">
        <v>15</v>
      </c>
      <c r="C66" s="360"/>
      <c r="D66" s="843">
        <f>(D59+D62)-SUM(D63:D65)</f>
        <v>0</v>
      </c>
      <c r="E66" s="851">
        <f>AL70WinstOnderneming_AP</f>
        <v>0</v>
      </c>
      <c r="F66" s="803">
        <f>AL70WinstOnderneming_AP</f>
        <v>0</v>
      </c>
      <c r="G66" s="843">
        <f>(G59+G62)-SUM(G63:G65)</f>
        <v>0</v>
      </c>
      <c r="H66" s="805">
        <f>AL70WinstOnderneming_AG</f>
        <v>0</v>
      </c>
      <c r="I66" s="805">
        <f>AL70WinstOnderneming_AG</f>
        <v>0</v>
      </c>
      <c r="J66" s="1538" t="s">
        <v>154</v>
      </c>
      <c r="K66" s="2003">
        <v>66</v>
      </c>
    </row>
    <row r="67" spans="1:11" ht="15.75" outlineLevel="1" thickBot="1" x14ac:dyDescent="0.3">
      <c r="A67" s="1604"/>
      <c r="B67" s="1512"/>
      <c r="C67" s="1606"/>
      <c r="D67" s="1072"/>
      <c r="E67" s="1606"/>
      <c r="F67" s="1606"/>
      <c r="G67" s="1072"/>
      <c r="H67" s="1072"/>
      <c r="I67" s="1072"/>
      <c r="J67" s="1540"/>
      <c r="K67" s="1097">
        <v>67</v>
      </c>
    </row>
    <row r="68" spans="1:11" ht="19.5" outlineLevel="1" thickBot="1" x14ac:dyDescent="0.3">
      <c r="A68" s="1628"/>
      <c r="B68" s="1629" t="s">
        <v>13</v>
      </c>
      <c r="C68" s="1630"/>
      <c r="D68" s="1631"/>
      <c r="E68" s="1631"/>
      <c r="F68" s="1631"/>
      <c r="G68" s="1631"/>
      <c r="H68" s="1631"/>
      <c r="I68" s="1631"/>
      <c r="J68" s="1996"/>
      <c r="K68" s="1882">
        <v>68</v>
      </c>
    </row>
    <row r="69" spans="1:11" outlineLevel="1" x14ac:dyDescent="0.25">
      <c r="A69" s="1621">
        <v>71</v>
      </c>
      <c r="B69" s="75" t="s">
        <v>346</v>
      </c>
      <c r="C69" s="178" t="s">
        <v>68</v>
      </c>
      <c r="D69" s="812">
        <f>IF(Basisgegevens!D146="Ja",IF(YEAR(Basisgegevens!C$9)&lt;Basisgegevens!$C$17,Basisgegevens!$C$146/2,Basisgegevens!$C$146),0)</f>
        <v>0</v>
      </c>
      <c r="E69" s="2976" t="s">
        <v>242</v>
      </c>
      <c r="F69" s="2976" t="s">
        <v>242</v>
      </c>
      <c r="G69" s="812">
        <f>IF(Basisgegevens!E146="Ja",IF(YEAR(Basisgegevens!D$9)&lt;Basisgegevens!$C$17,Basisgegevens!$C$146/2,Basisgegevens!$C$146),0)</f>
        <v>0</v>
      </c>
      <c r="H69" s="2963" t="s">
        <v>242</v>
      </c>
      <c r="I69" s="2963" t="s">
        <v>242</v>
      </c>
      <c r="J69" s="1539" t="s">
        <v>401</v>
      </c>
      <c r="K69" s="2004">
        <v>69</v>
      </c>
    </row>
    <row r="70" spans="1:11" outlineLevel="1" x14ac:dyDescent="0.25">
      <c r="A70" s="1294"/>
      <c r="B70" s="79" t="s">
        <v>332</v>
      </c>
      <c r="C70" s="176" t="s">
        <v>68</v>
      </c>
      <c r="D70" s="279">
        <f>IF(Basisgegevens!D147="Ja",IF(YEAR(Basisgegevens!C$9)&lt;Basisgegevens!$C$17,Basisgegevens!$C$147/2,Basisgegevens!$C$147),0)</f>
        <v>0</v>
      </c>
      <c r="E70" s="2988"/>
      <c r="F70" s="2988"/>
      <c r="G70" s="279">
        <f>IF(Basisgegevens!E147="Ja",IF(YEAR(Basisgegevens!D$9)&lt;Basisgegevens!$C$17,Basisgegevens!$C$147/2,Basisgegevens!$C$147),0)</f>
        <v>0</v>
      </c>
      <c r="H70" s="2964"/>
      <c r="I70" s="2964"/>
      <c r="J70" s="1530" t="s">
        <v>401</v>
      </c>
      <c r="K70" s="2005">
        <v>70</v>
      </c>
    </row>
    <row r="71" spans="1:11" outlineLevel="1" x14ac:dyDescent="0.25">
      <c r="A71" s="1294">
        <v>72</v>
      </c>
      <c r="B71" s="73" t="s">
        <v>1000</v>
      </c>
      <c r="C71" s="176" t="s">
        <v>68</v>
      </c>
      <c r="D71" s="279">
        <f>Basisgegevens!D153</f>
        <v>0</v>
      </c>
      <c r="E71" s="2956"/>
      <c r="F71" s="2956"/>
      <c r="G71" s="279">
        <f>Basisgegevens!E153</f>
        <v>0</v>
      </c>
      <c r="H71" s="2959"/>
      <c r="I71" s="2959"/>
      <c r="J71" s="1530"/>
      <c r="K71" s="2005">
        <v>71</v>
      </c>
    </row>
    <row r="72" spans="1:11" outlineLevel="1" x14ac:dyDescent="0.25">
      <c r="A72" s="1294">
        <v>73</v>
      </c>
      <c r="B72" s="73" t="str">
        <f>CONCATENATE("Meewerkaftrek: ",Basisgegevens!C4," a ",Basisgegevens!D162*100,"% / ",Basisgegevens!D4," a ",Basisgegevens!E162*100,"%")</f>
        <v>Meewerkaftrek: A. Plichtig a 0% / A. Gerechtigd a 0%</v>
      </c>
      <c r="C72" s="176" t="s">
        <v>68</v>
      </c>
      <c r="D72" s="279">
        <f>Basisgegevens!D162*D66</f>
        <v>0</v>
      </c>
      <c r="E72" s="2956"/>
      <c r="F72" s="2956"/>
      <c r="G72" s="279">
        <f>Basisgegevens!E162*G66</f>
        <v>0</v>
      </c>
      <c r="H72" s="2959"/>
      <c r="I72" s="2959"/>
      <c r="J72" s="1530"/>
      <c r="K72" s="2005">
        <v>72</v>
      </c>
    </row>
    <row r="73" spans="1:11" outlineLevel="1" x14ac:dyDescent="0.25">
      <c r="A73" s="1294">
        <v>74</v>
      </c>
      <c r="B73" s="73" t="s">
        <v>743</v>
      </c>
      <c r="C73" s="176" t="s">
        <v>68</v>
      </c>
      <c r="D73" s="280">
        <v>0</v>
      </c>
      <c r="E73" s="2956"/>
      <c r="F73" s="2956"/>
      <c r="G73" s="280">
        <v>0</v>
      </c>
      <c r="H73" s="2959"/>
      <c r="I73" s="2959"/>
      <c r="J73" s="1530" t="s">
        <v>730</v>
      </c>
      <c r="K73" s="2005">
        <v>73</v>
      </c>
    </row>
    <row r="74" spans="1:11" ht="15.75" outlineLevel="1" thickBot="1" x14ac:dyDescent="0.3">
      <c r="A74" s="1295"/>
      <c r="B74" s="264" t="str">
        <f>"MKB-winstvrijstelling a "&amp;BGMKBWinstVrijstelling*100&amp;" %"</f>
        <v>MKB-winstvrijstelling a 12,7 %</v>
      </c>
      <c r="C74" s="177" t="s">
        <v>68</v>
      </c>
      <c r="D74" s="281">
        <f>(D66-SUM(D69:D73))*BGMKBWinstVrijstelling</f>
        <v>0</v>
      </c>
      <c r="E74" s="2957"/>
      <c r="F74" s="2957"/>
      <c r="G74" s="281">
        <f>(G66-SUM(G69:G73))*BGMKBWinstVrijstelling</f>
        <v>0</v>
      </c>
      <c r="H74" s="2960"/>
      <c r="I74" s="2960"/>
      <c r="J74" s="1530" t="s">
        <v>730</v>
      </c>
      <c r="K74" s="2006">
        <v>74</v>
      </c>
    </row>
    <row r="75" spans="1:11" ht="16.5" thickBot="1" x14ac:dyDescent="0.3">
      <c r="A75" s="1305">
        <v>75</v>
      </c>
      <c r="B75" s="1600" t="s">
        <v>17</v>
      </c>
      <c r="C75" s="1574" t="s">
        <v>78</v>
      </c>
      <c r="D75" s="1171">
        <f>D66-SUM(D69:D74)</f>
        <v>0</v>
      </c>
      <c r="E75" s="1601">
        <f>AL75BelastbareWinst_AP</f>
        <v>0</v>
      </c>
      <c r="F75" s="803">
        <f>AL75BelastbareWinst_AP</f>
        <v>0</v>
      </c>
      <c r="G75" s="1171">
        <f>G66-SUM(G69:G74)</f>
        <v>0</v>
      </c>
      <c r="H75" s="1575">
        <f>AL75BelastbareWinst_AG</f>
        <v>0</v>
      </c>
      <c r="I75" s="1575">
        <f>AL75BelastbareWinst_AG</f>
        <v>0</v>
      </c>
      <c r="J75" s="1602" t="s">
        <v>155</v>
      </c>
      <c r="K75" s="2001">
        <v>75</v>
      </c>
    </row>
    <row r="76" spans="1:11" ht="15.75" outlineLevel="1" thickBot="1" x14ac:dyDescent="0.3">
      <c r="A76" s="1604"/>
      <c r="B76" s="1512"/>
      <c r="C76" s="1605"/>
      <c r="D76" s="1606"/>
      <c r="E76" s="1072"/>
      <c r="F76" s="1072"/>
      <c r="G76" s="1606"/>
      <c r="H76" s="1072"/>
      <c r="I76" s="1072"/>
      <c r="J76" s="1540"/>
      <c r="K76" s="1097">
        <v>76</v>
      </c>
    </row>
    <row r="77" spans="1:11" ht="19.5" outlineLevel="1" thickBot="1" x14ac:dyDescent="0.3">
      <c r="A77" s="1628"/>
      <c r="B77" s="1629" t="s">
        <v>19</v>
      </c>
      <c r="C77" s="1630"/>
      <c r="D77" s="1631"/>
      <c r="E77" s="1631"/>
      <c r="F77" s="1631"/>
      <c r="G77" s="1631"/>
      <c r="H77" s="1631"/>
      <c r="I77" s="1631"/>
      <c r="J77" s="1996"/>
      <c r="K77" s="1882">
        <v>77</v>
      </c>
    </row>
    <row r="78" spans="1:11" ht="30" outlineLevel="1" x14ac:dyDescent="0.25">
      <c r="A78" s="1286">
        <v>76</v>
      </c>
      <c r="B78" s="75" t="s">
        <v>19</v>
      </c>
      <c r="C78" s="178" t="s">
        <v>73</v>
      </c>
      <c r="D78" s="846">
        <v>0</v>
      </c>
      <c r="E78" s="2976" t="s">
        <v>242</v>
      </c>
      <c r="F78" s="2963" t="s">
        <v>242</v>
      </c>
      <c r="G78" s="2407">
        <v>0</v>
      </c>
      <c r="H78" s="2963" t="s">
        <v>242</v>
      </c>
      <c r="I78" s="2963" t="s">
        <v>242</v>
      </c>
      <c r="J78" s="1539" t="s">
        <v>680</v>
      </c>
      <c r="K78" s="59">
        <v>78</v>
      </c>
    </row>
    <row r="79" spans="1:11" ht="15.75" outlineLevel="1" thickBot="1" x14ac:dyDescent="0.3">
      <c r="A79" s="1288">
        <v>77</v>
      </c>
      <c r="B79" s="74" t="s">
        <v>10</v>
      </c>
      <c r="C79" s="177" t="s">
        <v>73</v>
      </c>
      <c r="D79" s="842">
        <v>0</v>
      </c>
      <c r="E79" s="2957"/>
      <c r="F79" s="2960"/>
      <c r="G79" s="2408">
        <v>0</v>
      </c>
      <c r="H79" s="2960"/>
      <c r="I79" s="2960"/>
      <c r="J79" s="1490"/>
      <c r="K79" s="26">
        <v>79</v>
      </c>
    </row>
    <row r="80" spans="1:11" ht="16.5" thickBot="1" x14ac:dyDescent="0.3">
      <c r="A80" s="1305">
        <v>78</v>
      </c>
      <c r="B80" s="1600" t="s">
        <v>20</v>
      </c>
      <c r="C80" s="621" t="s">
        <v>81</v>
      </c>
      <c r="D80" s="1171">
        <f>SUM(D78:D79)</f>
        <v>0</v>
      </c>
      <c r="E80" s="1601">
        <f>AL78OverigeWerkz_AP</f>
        <v>0</v>
      </c>
      <c r="F80" s="803">
        <f>AL78OverigeWerkz_AP</f>
        <v>0</v>
      </c>
      <c r="G80" s="1587">
        <f>SUM(G78:G79)</f>
        <v>0</v>
      </c>
      <c r="H80" s="1575">
        <f>AL78OverigeWerkz_AG</f>
        <v>0</v>
      </c>
      <c r="I80" s="1575">
        <f>AL78OverigeWerkz_AG</f>
        <v>0</v>
      </c>
      <c r="J80" s="1602" t="s">
        <v>272</v>
      </c>
      <c r="K80" s="2001">
        <v>80</v>
      </c>
    </row>
    <row r="81" spans="1:12" ht="15.75" outlineLevel="1" thickBot="1" x14ac:dyDescent="0.3">
      <c r="A81" s="1604"/>
      <c r="B81" s="1512"/>
      <c r="C81" s="1605"/>
      <c r="D81" s="1606"/>
      <c r="E81" s="1072"/>
      <c r="F81" s="1072"/>
      <c r="G81" s="1606"/>
      <c r="H81" s="1072"/>
      <c r="I81" s="1072"/>
      <c r="J81" s="1540"/>
      <c r="K81" s="1097">
        <v>81</v>
      </c>
    </row>
    <row r="82" spans="1:12" ht="19.5" outlineLevel="1" thickBot="1" x14ac:dyDescent="0.3">
      <c r="A82" s="1628"/>
      <c r="B82" s="1629" t="s">
        <v>852</v>
      </c>
      <c r="C82" s="1630"/>
      <c r="D82" s="1631"/>
      <c r="E82" s="1631"/>
      <c r="F82" s="1631"/>
      <c r="G82" s="1631"/>
      <c r="H82" s="1631"/>
      <c r="I82" s="1631"/>
      <c r="J82" s="1996"/>
      <c r="K82" s="1882">
        <v>82</v>
      </c>
    </row>
    <row r="83" spans="1:12" ht="30.75" outlineLevel="1" thickBot="1" x14ac:dyDescent="0.3">
      <c r="A83" s="1286">
        <v>79</v>
      </c>
      <c r="B83" s="75" t="s">
        <v>21</v>
      </c>
      <c r="C83" s="178" t="s">
        <v>73</v>
      </c>
      <c r="D83" s="846">
        <v>0</v>
      </c>
      <c r="E83" s="1622">
        <f>D83</f>
        <v>0</v>
      </c>
      <c r="F83" s="2403">
        <f>D83</f>
        <v>0</v>
      </c>
      <c r="G83" s="846">
        <v>0</v>
      </c>
      <c r="H83" s="1071">
        <f>G83</f>
        <v>0</v>
      </c>
      <c r="I83" s="1071">
        <f>H83</f>
        <v>0</v>
      </c>
      <c r="J83" s="1539" t="s">
        <v>912</v>
      </c>
      <c r="K83" s="59">
        <v>83</v>
      </c>
    </row>
    <row r="84" spans="1:12" ht="30.75" outlineLevel="1" thickBot="1" x14ac:dyDescent="0.3">
      <c r="A84" s="1290" t="s">
        <v>652</v>
      </c>
      <c r="B84" s="1504" t="s">
        <v>913</v>
      </c>
      <c r="C84" s="176" t="s">
        <v>73</v>
      </c>
      <c r="D84" s="814">
        <f>G281*12</f>
        <v>0</v>
      </c>
      <c r="E84" s="835" t="s">
        <v>242</v>
      </c>
      <c r="F84" s="2401" t="s">
        <v>242</v>
      </c>
      <c r="G84" s="814">
        <f>D281*12</f>
        <v>0</v>
      </c>
      <c r="H84" s="807" t="s">
        <v>242</v>
      </c>
      <c r="I84" s="807" t="s">
        <v>242</v>
      </c>
      <c r="J84" s="1531" t="s">
        <v>809</v>
      </c>
      <c r="K84" s="152">
        <v>84</v>
      </c>
    </row>
    <row r="85" spans="1:12" ht="15.75" outlineLevel="1" thickBot="1" x14ac:dyDescent="0.3">
      <c r="A85" s="1296">
        <v>80</v>
      </c>
      <c r="B85" s="516" t="s">
        <v>22</v>
      </c>
      <c r="C85" s="181" t="s">
        <v>68</v>
      </c>
      <c r="D85" s="808">
        <v>0</v>
      </c>
      <c r="E85" s="826">
        <v>0</v>
      </c>
      <c r="F85" s="2404">
        <v>0</v>
      </c>
      <c r="G85" s="808">
        <v>0</v>
      </c>
      <c r="H85" s="808">
        <v>0</v>
      </c>
      <c r="I85" s="808">
        <v>0</v>
      </c>
      <c r="J85" s="1535" t="s">
        <v>204</v>
      </c>
      <c r="K85" s="2007">
        <v>85</v>
      </c>
    </row>
    <row r="86" spans="1:12" ht="16.5" thickBot="1" x14ac:dyDescent="0.3">
      <c r="A86" s="1293">
        <v>81</v>
      </c>
      <c r="B86" s="359" t="s">
        <v>23</v>
      </c>
      <c r="C86" s="360" t="s">
        <v>79</v>
      </c>
      <c r="D86" s="843">
        <f>D83+D84-D85</f>
        <v>0</v>
      </c>
      <c r="E86" s="1069">
        <f>AL81PeriodiekeUitk_AP</f>
        <v>0</v>
      </c>
      <c r="F86" s="811">
        <f>AL81PeriodiekeUitk_KA_AP</f>
        <v>0</v>
      </c>
      <c r="G86" s="843">
        <f>G83+G84-G85</f>
        <v>0</v>
      </c>
      <c r="H86" s="843">
        <f>H83-H85</f>
        <v>0</v>
      </c>
      <c r="I86" s="843">
        <f>AL81PeriodiekeUitk_KA_AG</f>
        <v>0</v>
      </c>
      <c r="J86" s="1538" t="s">
        <v>273</v>
      </c>
      <c r="K86" s="2003">
        <v>86</v>
      </c>
    </row>
    <row r="87" spans="1:12" ht="15.75" thickBot="1" x14ac:dyDescent="0.3">
      <c r="A87" s="1598"/>
      <c r="B87" s="99"/>
      <c r="C87" s="1599"/>
      <c r="D87" s="1580"/>
      <c r="E87" s="849"/>
      <c r="F87" s="849"/>
      <c r="G87" s="1580"/>
      <c r="H87" s="849"/>
      <c r="I87" s="849"/>
      <c r="J87" s="1549"/>
      <c r="K87" s="147">
        <v>87</v>
      </c>
    </row>
    <row r="88" spans="1:12" ht="19.5" thickBot="1" x14ac:dyDescent="0.3">
      <c r="A88" s="1628"/>
      <c r="B88" s="1629" t="s">
        <v>820</v>
      </c>
      <c r="C88" s="1630"/>
      <c r="D88" s="1630" t="str">
        <f>IF(BGOEWRekenModule="Nee","--",Basisgegevens!$P$181)</f>
        <v>--</v>
      </c>
      <c r="E88" s="1630"/>
      <c r="F88" s="1630"/>
      <c r="G88" s="1630" t="str">
        <f>IF(BGOEWRekenModule="Nee","--",Basisgegevens!$Q$181)</f>
        <v>--</v>
      </c>
      <c r="H88" s="1631"/>
      <c r="I88" s="1631"/>
      <c r="J88" s="1996"/>
      <c r="K88" s="2008">
        <v>88</v>
      </c>
    </row>
    <row r="89" spans="1:12" outlineLevel="1" x14ac:dyDescent="0.25">
      <c r="A89" s="1285">
        <f>Basisgegevens!L184</f>
        <v>81</v>
      </c>
      <c r="B89" s="1498" t="str">
        <f>"OEW Fictief inkomen: "&amp;Basisgegevens!M184</f>
        <v>OEW Fictief inkomen: Eigen Woning Forfait ontvangen als partneralimentatie</v>
      </c>
      <c r="C89" s="175" t="s">
        <v>73</v>
      </c>
      <c r="D89" s="1080">
        <f>IF(BGOEWRekenModule="Nee",0,BGOEW81EWFPA_AP)</f>
        <v>0</v>
      </c>
      <c r="E89" s="2405"/>
      <c r="F89" s="1062"/>
      <c r="G89" s="1080">
        <f>IF(BGOEWRekenModule="Nee",0,BGOEW81EWFPA_AG)</f>
        <v>0</v>
      </c>
      <c r="H89" s="1062"/>
      <c r="I89" s="1062"/>
      <c r="J89" s="1523" t="s">
        <v>914</v>
      </c>
      <c r="K89" s="24">
        <v>89</v>
      </c>
    </row>
    <row r="90" spans="1:12" ht="15.75" outlineLevel="1" thickBot="1" x14ac:dyDescent="0.3">
      <c r="A90" s="1288">
        <f>Basisgegevens!L189</f>
        <v>81</v>
      </c>
      <c r="B90" s="1499" t="str">
        <f>"OEW Fictief inkomen: "&amp;Basisgegevens!M189</f>
        <v>OEW Fictief inkomen: Rente ontvangen als partneralimentatie</v>
      </c>
      <c r="C90" s="177" t="s">
        <v>73</v>
      </c>
      <c r="D90" s="1081">
        <f>IF(BGOEWRekenModule="Nee",0,BGOEW81RentePA_AP)</f>
        <v>0</v>
      </c>
      <c r="E90" s="2406"/>
      <c r="F90" s="1074"/>
      <c r="G90" s="1081">
        <f>IF(BGOEWRekenModule="Nee",0,BGOEW81RentePA_AG)</f>
        <v>0</v>
      </c>
      <c r="H90" s="1074"/>
      <c r="I90" s="1074"/>
      <c r="J90" s="1524" t="s">
        <v>914</v>
      </c>
      <c r="K90" s="26">
        <v>90</v>
      </c>
    </row>
    <row r="91" spans="1:12" ht="15.75" thickBot="1" x14ac:dyDescent="0.3">
      <c r="A91" s="1305">
        <v>81</v>
      </c>
      <c r="B91" s="1623" t="s">
        <v>674</v>
      </c>
      <c r="C91" s="1574"/>
      <c r="D91" s="1171">
        <f>SUM(D89:D90)</f>
        <v>0</v>
      </c>
      <c r="E91" s="1601">
        <v>0</v>
      </c>
      <c r="F91" s="803">
        <v>0</v>
      </c>
      <c r="G91" s="1575">
        <f>SUM(G89:G90)</f>
        <v>0</v>
      </c>
      <c r="H91" s="1575">
        <v>0</v>
      </c>
      <c r="I91" s="1575">
        <v>0</v>
      </c>
      <c r="J91" s="1588"/>
      <c r="K91" s="2001">
        <v>91</v>
      </c>
    </row>
    <row r="92" spans="1:12" s="90" customFormat="1" ht="15.75" thickBot="1" x14ac:dyDescent="0.3">
      <c r="A92" s="1632"/>
      <c r="B92" s="1624"/>
      <c r="C92" s="1625"/>
      <c r="D92" s="1626"/>
      <c r="E92" s="1626"/>
      <c r="F92" s="1626"/>
      <c r="G92" s="1626"/>
      <c r="H92" s="1626"/>
      <c r="I92" s="1626"/>
      <c r="J92" s="1549"/>
      <c r="K92" s="1720">
        <v>92</v>
      </c>
      <c r="L92" s="1"/>
    </row>
    <row r="93" spans="1:12" s="90" customFormat="1" ht="19.5" thickBot="1" x14ac:dyDescent="0.3">
      <c r="A93" s="1628"/>
      <c r="B93" s="1629" t="s">
        <v>264</v>
      </c>
      <c r="C93" s="1630"/>
      <c r="D93" s="1630" t="str">
        <f>IF(BGOEWRekenModule="Nee","--",Basisgegevens!$P$181)</f>
        <v>--</v>
      </c>
      <c r="E93" s="1631"/>
      <c r="F93" s="1631"/>
      <c r="G93" s="1630" t="str">
        <f>IF(BGOEWRekenModule="Nee","--",Basisgegevens!$Q$181)</f>
        <v>--</v>
      </c>
      <c r="H93" s="1631"/>
      <c r="I93" s="1631"/>
      <c r="J93" s="1996"/>
      <c r="K93" s="1633">
        <v>93</v>
      </c>
      <c r="L93" s="1"/>
    </row>
    <row r="94" spans="1:12" outlineLevel="1" x14ac:dyDescent="0.25">
      <c r="A94" s="1286">
        <v>82</v>
      </c>
      <c r="B94" s="75" t="s">
        <v>733</v>
      </c>
      <c r="C94" s="178" t="s">
        <v>73</v>
      </c>
      <c r="D94" s="812">
        <f>IF(BGOEWRekenModule="Ja",Basisgegevens!F187,Basisgegevens!E174+Basisgegevens!F187)</f>
        <v>0</v>
      </c>
      <c r="E94" s="2965" t="s">
        <v>242</v>
      </c>
      <c r="F94" s="2970" t="s">
        <v>242</v>
      </c>
      <c r="G94" s="812">
        <f>IF(BGOEWRekenModule="Ja",Basisgegevens!E187,Basisgegevens!F174+Basisgegevens!E187)</f>
        <v>0</v>
      </c>
      <c r="H94" s="2965" t="s">
        <v>242</v>
      </c>
      <c r="I94" s="2965" t="s">
        <v>242</v>
      </c>
      <c r="J94" s="1539"/>
      <c r="K94" s="59">
        <v>94</v>
      </c>
    </row>
    <row r="95" spans="1:12" outlineLevel="1" x14ac:dyDescent="0.25">
      <c r="A95" s="1286" t="str">
        <f>Basisgegevens!L185</f>
        <v>82a</v>
      </c>
      <c r="B95" s="75" t="str">
        <f>"OEW: "&amp;Basisgegevens!M185</f>
        <v>OEW: Eigen Woning Forfait van de Onverdeeld Eigen Woning</v>
      </c>
      <c r="C95" s="178" t="s">
        <v>73</v>
      </c>
      <c r="D95" s="812">
        <f>IF(BGOEWRekenModule="Nee",0,BGOEW82aEWF_AP)</f>
        <v>0</v>
      </c>
      <c r="E95" s="2966"/>
      <c r="F95" s="2953"/>
      <c r="G95" s="812">
        <f>IF(BGOEWRekenModule="Nee",0,BGOEW82aEWF_AG)</f>
        <v>0</v>
      </c>
      <c r="H95" s="2966"/>
      <c r="I95" s="2966"/>
      <c r="J95" s="1539" t="s">
        <v>914</v>
      </c>
      <c r="K95" s="59">
        <v>95</v>
      </c>
    </row>
    <row r="96" spans="1:12" ht="30" outlineLevel="1" x14ac:dyDescent="0.25">
      <c r="A96" s="1286">
        <v>82</v>
      </c>
      <c r="B96" s="75" t="str">
        <f>"Bij geen/kleine eigen woningschuld is er recht op aftrek van "&amp;BG082EWFAfbouwtarief*100&amp;"% over het EWF minus de aftrekbare kosten"</f>
        <v>Bij geen/kleine eigen woningschuld is er recht op aftrek van 76,667% over het EWF minus de aftrekbare kosten</v>
      </c>
      <c r="C96" s="176" t="s">
        <v>68</v>
      </c>
      <c r="D96" s="812">
        <f>IF(SUM(D94:D95)-SUM(D97:D101)&gt;0,(SUM(D94:D95)-SUM(D97:D101))*BG082EWFAfbouwtarief,0)</f>
        <v>0</v>
      </c>
      <c r="E96" s="2966"/>
      <c r="F96" s="2953"/>
      <c r="G96" s="812">
        <f>IF(G94-SUM(G97:G101)&gt;0,(G94-SUM(G97:G101))*BG082EWFAfbouwtarief,0)</f>
        <v>0</v>
      </c>
      <c r="H96" s="2966"/>
      <c r="I96" s="2966"/>
      <c r="J96" s="1539" t="s">
        <v>734</v>
      </c>
      <c r="K96" s="59">
        <v>96</v>
      </c>
    </row>
    <row r="97" spans="1:11" outlineLevel="1" x14ac:dyDescent="0.25">
      <c r="A97" s="1294">
        <v>83</v>
      </c>
      <c r="B97" s="73" t="s">
        <v>156</v>
      </c>
      <c r="C97" s="176" t="s">
        <v>68</v>
      </c>
      <c r="D97" s="1071">
        <f>IF(BG083HypRenteWoning1="Zie OEW",Basisgegevens!F191,Basisgegevens!E178+Basisgegevens!F191)</f>
        <v>0</v>
      </c>
      <c r="E97" s="2966"/>
      <c r="F97" s="2953"/>
      <c r="G97" s="279">
        <f>IF(BG083HypRenteWoning1="Zie OEW",Basisgegevens!E191,Basisgegevens!F178+Basisgegevens!E191)</f>
        <v>0</v>
      </c>
      <c r="H97" s="2966"/>
      <c r="I97" s="2966"/>
      <c r="J97" s="1530"/>
      <c r="K97" s="2005">
        <v>97</v>
      </c>
    </row>
    <row r="98" spans="1:11" outlineLevel="1" x14ac:dyDescent="0.25">
      <c r="A98" s="1297" t="str">
        <f>Basisgegevens!L190</f>
        <v>83a</v>
      </c>
      <c r="B98" s="83" t="str">
        <f>"OEW: "&amp;Basisgegevens!M190</f>
        <v>OEW: Rente Onverdeeld Eigen Woning Eigen aandeel</v>
      </c>
      <c r="C98" s="176" t="s">
        <v>68</v>
      </c>
      <c r="D98" s="279">
        <f>IF(BGOEWRekenModule="Nee",0,BGOEW83aRente_AP)</f>
        <v>0</v>
      </c>
      <c r="E98" s="2967"/>
      <c r="F98" s="2994"/>
      <c r="G98" s="279">
        <f>IF(BGOEWRekenModule="Nee",0,BGOEW83aRente_AG)</f>
        <v>0</v>
      </c>
      <c r="H98" s="2967"/>
      <c r="I98" s="2967"/>
      <c r="J98" s="1539" t="s">
        <v>914</v>
      </c>
      <c r="K98" s="2009">
        <v>98</v>
      </c>
    </row>
    <row r="99" spans="1:11" outlineLevel="1" x14ac:dyDescent="0.25">
      <c r="A99" s="1297" t="str">
        <f>Basisgegevens!L191</f>
        <v>83a</v>
      </c>
      <c r="B99" s="83" t="str">
        <f>"OEW: "&amp;Basisgegevens!M191</f>
        <v>OEW: Rente betaald voor ex. partner als partneralimentatie</v>
      </c>
      <c r="C99" s="176" t="s">
        <v>68</v>
      </c>
      <c r="D99" s="279">
        <f>IF(BGOEWRekenModule="Nee",0,BGOEW83aRentePA_AP)</f>
        <v>0</v>
      </c>
      <c r="E99" s="2967"/>
      <c r="F99" s="2994"/>
      <c r="G99" s="279">
        <f>IF(BGOEWRekenModule="Nee",0,BGOEW83aRentePA_AG)</f>
        <v>0</v>
      </c>
      <c r="H99" s="2967"/>
      <c r="I99" s="2967"/>
      <c r="J99" s="1539" t="s">
        <v>914</v>
      </c>
      <c r="K99" s="2009">
        <v>99</v>
      </c>
    </row>
    <row r="100" spans="1:11" ht="30" outlineLevel="1" x14ac:dyDescent="0.25">
      <c r="A100" s="1290" t="s">
        <v>692</v>
      </c>
      <c r="B100" s="1504" t="s">
        <v>821</v>
      </c>
      <c r="C100" s="176" t="s">
        <v>68</v>
      </c>
      <c r="D100" s="814">
        <f>G281*12</f>
        <v>0</v>
      </c>
      <c r="E100" s="2967"/>
      <c r="F100" s="2994"/>
      <c r="G100" s="814">
        <f>D281*12</f>
        <v>0</v>
      </c>
      <c r="H100" s="2967"/>
      <c r="I100" s="2967"/>
      <c r="J100" s="1530" t="s">
        <v>689</v>
      </c>
      <c r="K100" s="152">
        <v>100</v>
      </c>
    </row>
    <row r="101" spans="1:11" ht="15.75" outlineLevel="1" thickBot="1" x14ac:dyDescent="0.3">
      <c r="A101" s="1297">
        <v>84</v>
      </c>
      <c r="B101" s="83" t="str">
        <f>IF(BGOEWRekenModule="Ja","OEW: ","")&amp;"Periodieke betalingen van erfpacht e.d."</f>
        <v>Periodieke betalingen van erfpacht e.d.</v>
      </c>
      <c r="C101" s="183" t="s">
        <v>68</v>
      </c>
      <c r="D101" s="814">
        <f>IF(BGOEWRekenModule="Nee",Basisgegevens!E179+Basisgegevens!F192,IF(AND(BGOEWRekenModule="Ja",BGOEWErfpacht=BGPartner_AP),Basisgegevens!C179,IF(AND(BGOEWRekenModule="Ja",BGOEWErfpacht=Keuzelijsten!$R$4),Basisgegevens!C179/2,0)))*12</f>
        <v>0</v>
      </c>
      <c r="E101" s="2791"/>
      <c r="F101" s="2995"/>
      <c r="G101" s="814">
        <f>IF(BGOEWRekenModule="Nee",Basisgegevens!F179+Basisgegevens!E192,IF(AND(BGOEWRekenModule="Ja",BGOEWErfpacht=BGPartner_AG),Basisgegevens!C179,IF(AND(BGOEWRekenModule="Ja",BGOEWErfpacht=Keuzelijsten!$R$4),Basisgegevens!C179/2,0)))*12</f>
        <v>0</v>
      </c>
      <c r="H101" s="2791"/>
      <c r="I101" s="2791"/>
      <c r="J101" s="1531"/>
      <c r="K101" s="2009">
        <v>101</v>
      </c>
    </row>
    <row r="102" spans="1:11" ht="16.5" thickBot="1" x14ac:dyDescent="0.3">
      <c r="A102" s="1305">
        <v>85</v>
      </c>
      <c r="B102" s="1600" t="s">
        <v>915</v>
      </c>
      <c r="C102" s="621" t="s">
        <v>80</v>
      </c>
      <c r="D102" s="1171">
        <f>SUM(D94:D95)-SUM(D96:D101)</f>
        <v>0</v>
      </c>
      <c r="E102" s="1601">
        <v>0</v>
      </c>
      <c r="F102" s="803">
        <v>0</v>
      </c>
      <c r="G102" s="1171">
        <f>SUM(G94:G95)-SUM(G96:G101)</f>
        <v>0</v>
      </c>
      <c r="H102" s="1627">
        <v>0</v>
      </c>
      <c r="I102" s="1627">
        <v>0</v>
      </c>
      <c r="J102" s="1513" t="s">
        <v>277</v>
      </c>
      <c r="K102" s="2001">
        <v>102</v>
      </c>
    </row>
    <row r="103" spans="1:11" ht="15.75" thickBot="1" x14ac:dyDescent="0.3">
      <c r="A103" s="1598"/>
      <c r="B103" s="1624"/>
      <c r="C103" s="1625"/>
      <c r="D103" s="1626"/>
      <c r="E103" s="1626"/>
      <c r="F103" s="1626"/>
      <c r="G103" s="1626"/>
      <c r="H103" s="1626"/>
      <c r="I103" s="1626"/>
      <c r="J103" s="1549"/>
      <c r="K103" s="147">
        <v>103</v>
      </c>
    </row>
    <row r="104" spans="1:11" ht="19.5" thickBot="1" x14ac:dyDescent="0.3">
      <c r="A104" s="1628"/>
      <c r="B104" s="1629" t="s">
        <v>265</v>
      </c>
      <c r="C104" s="1630"/>
      <c r="D104" s="1631"/>
      <c r="E104" s="1631"/>
      <c r="F104" s="1631"/>
      <c r="G104" s="1631"/>
      <c r="H104" s="1631"/>
      <c r="I104" s="1631"/>
      <c r="J104" s="1996"/>
      <c r="K104" s="2008">
        <v>104</v>
      </c>
    </row>
    <row r="105" spans="1:11" ht="30" outlineLevel="1" x14ac:dyDescent="0.25">
      <c r="A105" s="1286">
        <v>86</v>
      </c>
      <c r="B105" s="75" t="s">
        <v>24</v>
      </c>
      <c r="C105" s="178" t="s">
        <v>73</v>
      </c>
      <c r="D105" s="2412">
        <v>0</v>
      </c>
      <c r="E105" s="2963" t="s">
        <v>242</v>
      </c>
      <c r="F105" s="2963" t="s">
        <v>242</v>
      </c>
      <c r="G105" s="2407">
        <v>0</v>
      </c>
      <c r="H105" s="2963" t="s">
        <v>242</v>
      </c>
      <c r="I105" s="2963" t="s">
        <v>242</v>
      </c>
      <c r="J105" s="1539" t="s">
        <v>158</v>
      </c>
      <c r="K105" s="59">
        <v>105</v>
      </c>
    </row>
    <row r="106" spans="1:11" outlineLevel="1" x14ac:dyDescent="0.25">
      <c r="A106" s="1287">
        <v>87</v>
      </c>
      <c r="B106" s="73" t="s">
        <v>25</v>
      </c>
      <c r="C106" s="176" t="s">
        <v>73</v>
      </c>
      <c r="D106" s="2087">
        <v>0</v>
      </c>
      <c r="E106" s="2968"/>
      <c r="F106" s="2968"/>
      <c r="G106" s="2409">
        <v>0</v>
      </c>
      <c r="H106" s="2968"/>
      <c r="I106" s="2968"/>
      <c r="J106" s="1530" t="s">
        <v>159</v>
      </c>
      <c r="K106" s="58">
        <v>106</v>
      </c>
    </row>
    <row r="107" spans="1:11" ht="15.75" outlineLevel="1" thickBot="1" x14ac:dyDescent="0.3">
      <c r="A107" s="1298">
        <v>88</v>
      </c>
      <c r="B107" s="517" t="s">
        <v>26</v>
      </c>
      <c r="C107" s="363" t="s">
        <v>73</v>
      </c>
      <c r="D107" s="2413">
        <v>0</v>
      </c>
      <c r="E107" s="2969"/>
      <c r="F107" s="2969"/>
      <c r="G107" s="2410">
        <v>0</v>
      </c>
      <c r="H107" s="2969"/>
      <c r="I107" s="2969"/>
      <c r="J107" s="1541" t="s">
        <v>204</v>
      </c>
      <c r="K107" s="2010">
        <v>107</v>
      </c>
    </row>
    <row r="108" spans="1:11" ht="16.5" thickBot="1" x14ac:dyDescent="0.3">
      <c r="A108" s="1289">
        <v>89</v>
      </c>
      <c r="B108" s="165" t="s">
        <v>27</v>
      </c>
      <c r="C108" s="265" t="s">
        <v>82</v>
      </c>
      <c r="D108" s="1143">
        <f>SUM(D105:D107)</f>
        <v>0</v>
      </c>
      <c r="E108" s="803">
        <f>AL89Inkomensvoorz_AP</f>
        <v>0</v>
      </c>
      <c r="F108" s="803">
        <f>AL89Inkomensvoorz_AP</f>
        <v>0</v>
      </c>
      <c r="G108" s="2411">
        <f>SUM(G105:G107)</f>
        <v>0</v>
      </c>
      <c r="H108" s="803">
        <f>AL89Inkomensvoorz_AG</f>
        <v>0</v>
      </c>
      <c r="I108" s="803">
        <f>AL89Inkomensvoorz_AG</f>
        <v>0</v>
      </c>
      <c r="J108" s="1525" t="s">
        <v>160</v>
      </c>
      <c r="K108" s="538">
        <v>108</v>
      </c>
    </row>
    <row r="109" spans="1:11" ht="15.75" thickBot="1" x14ac:dyDescent="0.3">
      <c r="A109" s="1598"/>
      <c r="B109" s="1624"/>
      <c r="C109" s="1625"/>
      <c r="D109" s="1626"/>
      <c r="E109" s="1626"/>
      <c r="F109" s="1626"/>
      <c r="G109" s="1626"/>
      <c r="H109" s="1626"/>
      <c r="I109" s="1626"/>
      <c r="J109" s="1549"/>
      <c r="K109" s="147">
        <v>109</v>
      </c>
    </row>
    <row r="110" spans="1:11" ht="16.5" thickBot="1" x14ac:dyDescent="0.3">
      <c r="A110" s="1638">
        <v>90</v>
      </c>
      <c r="B110" s="1639" t="s">
        <v>690</v>
      </c>
      <c r="C110" s="1640" t="s">
        <v>83</v>
      </c>
      <c r="D110" s="1641">
        <v>0</v>
      </c>
      <c r="E110" s="1642">
        <f>D110</f>
        <v>0</v>
      </c>
      <c r="F110" s="1642">
        <f>E110</f>
        <v>0</v>
      </c>
      <c r="G110" s="1643">
        <v>0</v>
      </c>
      <c r="H110" s="1643">
        <f>G110</f>
        <v>0</v>
      </c>
      <c r="I110" s="1643">
        <f>H110</f>
        <v>0</v>
      </c>
      <c r="J110" s="2123" t="s">
        <v>691</v>
      </c>
      <c r="K110" s="2011">
        <v>110</v>
      </c>
    </row>
    <row r="111" spans="1:11" ht="15.75" outlineLevel="1" thickBot="1" x14ac:dyDescent="0.3">
      <c r="A111" s="1604"/>
      <c r="B111" s="1512"/>
      <c r="C111" s="1605"/>
      <c r="D111" s="1606"/>
      <c r="E111" s="1606"/>
      <c r="F111" s="1606"/>
      <c r="G111" s="1606"/>
      <c r="H111" s="1606"/>
      <c r="I111" s="1606"/>
      <c r="J111" s="1540"/>
      <c r="K111" s="1097">
        <v>111</v>
      </c>
    </row>
    <row r="112" spans="1:11" ht="19.5" outlineLevel="1" thickBot="1" x14ac:dyDescent="0.3">
      <c r="A112" s="1628"/>
      <c r="B112" s="1629" t="s">
        <v>853</v>
      </c>
      <c r="C112" s="1630"/>
      <c r="D112" s="1631"/>
      <c r="E112" s="1631"/>
      <c r="F112" s="1631"/>
      <c r="G112" s="1631"/>
      <c r="H112" s="1631"/>
      <c r="I112" s="1631"/>
      <c r="J112" s="1996"/>
      <c r="K112" s="1882">
        <v>112</v>
      </c>
    </row>
    <row r="113" spans="1:12" ht="30" outlineLevel="1" x14ac:dyDescent="0.25">
      <c r="A113" s="1621">
        <v>91</v>
      </c>
      <c r="B113" s="75" t="str">
        <f>"Buitengewone uitgaven (minus een drempel van € "&amp;ROUND(Basisgegevens!Q147,0)&amp;" respectievelijk € "&amp;ROUND(Basisgegevens!R147,0)&amp;")"</f>
        <v>Buitengewone uitgaven (minus een drempel van € 0 respectievelijk € 0)</v>
      </c>
      <c r="C113" s="178" t="s">
        <v>73</v>
      </c>
      <c r="D113" s="846">
        <v>0</v>
      </c>
      <c r="E113" s="1071">
        <f>D113</f>
        <v>0</v>
      </c>
      <c r="F113" s="1622">
        <f>D113</f>
        <v>0</v>
      </c>
      <c r="G113" s="846">
        <v>0</v>
      </c>
      <c r="H113" s="1071">
        <f>G113</f>
        <v>0</v>
      </c>
      <c r="I113" s="1071">
        <f>G113</f>
        <v>0</v>
      </c>
      <c r="J113" s="1539" t="s">
        <v>163</v>
      </c>
      <c r="K113" s="2004">
        <v>113</v>
      </c>
    </row>
    <row r="114" spans="1:12" outlineLevel="1" x14ac:dyDescent="0.25">
      <c r="A114" s="1290" t="str">
        <f>Basisgegevens!L186</f>
        <v>92a</v>
      </c>
      <c r="B114" s="1500" t="str">
        <f>"OEW: "&amp;Basisgegevens!M186&amp;" (Woongenot)"</f>
        <v>OEW: Eigen Woning Forfait betaald als partneralimentatie (Woongenot)</v>
      </c>
      <c r="C114" s="176" t="s">
        <v>73</v>
      </c>
      <c r="D114" s="1070">
        <f>IF(BGOEWRekenModule="Nee",0,BGOEW92aEWFPA_AP)</f>
        <v>0</v>
      </c>
      <c r="E114" s="807" t="s">
        <v>695</v>
      </c>
      <c r="F114" s="835" t="s">
        <v>695</v>
      </c>
      <c r="G114" s="1070">
        <f>IF(BGOEWRekenModule="Nee",0,BGOEW92aEWFPA_AG)</f>
        <v>0</v>
      </c>
      <c r="H114" s="807" t="s">
        <v>695</v>
      </c>
      <c r="I114" s="807" t="s">
        <v>695</v>
      </c>
      <c r="J114" s="1539" t="s">
        <v>914</v>
      </c>
      <c r="K114" s="152">
        <v>114</v>
      </c>
    </row>
    <row r="115" spans="1:12" ht="15.75" outlineLevel="1" thickBot="1" x14ac:dyDescent="0.3">
      <c r="A115" s="1299">
        <v>92</v>
      </c>
      <c r="B115" s="517" t="str">
        <f>CONCATENATE("Scholingsuitgaven (minus een drempel van € ",ROUND(Basisgegevens!N201,0)," / maximaal aftrekbaar: € ",ROUND(Basisgegevens!O201,0),")")</f>
        <v>Scholingsuitgaven (minus een drempel van € 0 / maximaal aftrekbaar: € 0)</v>
      </c>
      <c r="C115" s="999" t="s">
        <v>73</v>
      </c>
      <c r="D115" s="1000">
        <v>0</v>
      </c>
      <c r="E115" s="1000">
        <v>0</v>
      </c>
      <c r="F115" s="2414">
        <v>0</v>
      </c>
      <c r="G115" s="1000">
        <v>0</v>
      </c>
      <c r="H115" s="1000">
        <v>0</v>
      </c>
      <c r="I115" s="1000">
        <v>0</v>
      </c>
      <c r="J115" s="1531" t="s">
        <v>604</v>
      </c>
      <c r="K115" s="2012">
        <v>115</v>
      </c>
    </row>
    <row r="116" spans="1:12" ht="16.5" thickBot="1" x14ac:dyDescent="0.3">
      <c r="A116" s="1289">
        <v>93</v>
      </c>
      <c r="B116" s="165" t="s">
        <v>28</v>
      </c>
      <c r="C116" s="366" t="s">
        <v>84</v>
      </c>
      <c r="D116" s="811">
        <f>SUM(D113:D115)</f>
        <v>0</v>
      </c>
      <c r="E116" s="811">
        <f>E113</f>
        <v>0</v>
      </c>
      <c r="F116" s="2411">
        <f>F113</f>
        <v>0</v>
      </c>
      <c r="G116" s="811">
        <f>SUM(G113:G115)</f>
        <v>0</v>
      </c>
      <c r="H116" s="811">
        <f>H113</f>
        <v>0</v>
      </c>
      <c r="I116" s="811">
        <f>I113</f>
        <v>0</v>
      </c>
      <c r="J116" s="1525" t="s">
        <v>274</v>
      </c>
      <c r="K116" s="538">
        <v>116</v>
      </c>
    </row>
    <row r="117" spans="1:12" ht="15.75" thickBot="1" x14ac:dyDescent="0.3">
      <c r="A117" s="1604"/>
      <c r="B117" s="1894"/>
      <c r="C117" s="1912"/>
      <c r="D117" s="1913"/>
      <c r="E117" s="1913"/>
      <c r="F117" s="1913"/>
      <c r="G117" s="1913"/>
      <c r="H117" s="1913"/>
      <c r="I117" s="1913"/>
      <c r="J117" s="1540"/>
      <c r="K117" s="1097">
        <v>117</v>
      </c>
    </row>
    <row r="118" spans="1:12" ht="19.5" thickBot="1" x14ac:dyDescent="0.3">
      <c r="A118" s="1628"/>
      <c r="B118" s="1629" t="s">
        <v>266</v>
      </c>
      <c r="C118" s="1630"/>
      <c r="D118" s="1631"/>
      <c r="E118" s="1631"/>
      <c r="F118" s="1631"/>
      <c r="G118" s="1631"/>
      <c r="H118" s="1631"/>
      <c r="I118" s="1631"/>
      <c r="J118" s="1996"/>
      <c r="K118" s="1882">
        <v>118</v>
      </c>
    </row>
    <row r="119" spans="1:12" outlineLevel="1" x14ac:dyDescent="0.25">
      <c r="A119" s="1914">
        <f>A56</f>
        <v>64</v>
      </c>
      <c r="B119" s="369" t="str">
        <f>B56</f>
        <v>Belastbaar loon:</v>
      </c>
      <c r="C119" s="1898" t="str">
        <f>C56</f>
        <v>(a)</v>
      </c>
      <c r="D119" s="1915">
        <f>AL64BelastbaarLoon_AP</f>
        <v>0</v>
      </c>
      <c r="E119" s="1915">
        <f>E56</f>
        <v>0</v>
      </c>
      <c r="F119" s="1915">
        <f>F56</f>
        <v>0</v>
      </c>
      <c r="G119" s="1915">
        <f>AL64BelastbaarLoon_AG</f>
        <v>0</v>
      </c>
      <c r="H119" s="812">
        <f>H56</f>
        <v>0</v>
      </c>
      <c r="I119" s="812">
        <f>I56</f>
        <v>0</v>
      </c>
      <c r="J119" s="1542" t="s">
        <v>267</v>
      </c>
      <c r="K119" s="2013">
        <v>119</v>
      </c>
    </row>
    <row r="120" spans="1:12" outlineLevel="1" x14ac:dyDescent="0.25">
      <c r="A120" s="1902">
        <f>A75</f>
        <v>75</v>
      </c>
      <c r="B120" s="287" t="str">
        <f>B75</f>
        <v>Belastbare winst uit onderneming:</v>
      </c>
      <c r="C120" s="1076" t="str">
        <f>C75</f>
        <v>(b)</v>
      </c>
      <c r="D120" s="1740">
        <f>AL75BelastbareWinst_AP</f>
        <v>0</v>
      </c>
      <c r="E120" s="1740">
        <f>E75</f>
        <v>0</v>
      </c>
      <c r="F120" s="1740">
        <f>F75</f>
        <v>0</v>
      </c>
      <c r="G120" s="1740">
        <f>AL75BelastbareWinst_AG</f>
        <v>0</v>
      </c>
      <c r="H120" s="279">
        <f>H75</f>
        <v>0</v>
      </c>
      <c r="I120" s="279">
        <f>I75</f>
        <v>0</v>
      </c>
      <c r="J120" s="1045" t="s">
        <v>267</v>
      </c>
      <c r="K120" s="878">
        <v>120</v>
      </c>
    </row>
    <row r="121" spans="1:12" outlineLevel="1" x14ac:dyDescent="0.25">
      <c r="A121" s="1902">
        <f>A80</f>
        <v>78</v>
      </c>
      <c r="B121" s="287" t="str">
        <f>B80</f>
        <v>Belastbaar resultaat uit overige werkzaamheden:</v>
      </c>
      <c r="C121" s="1076" t="str">
        <f>C80</f>
        <v xml:space="preserve">(c) </v>
      </c>
      <c r="D121" s="1740">
        <f>AL78OverigeWerkz_AP</f>
        <v>0</v>
      </c>
      <c r="E121" s="1740">
        <f>E80</f>
        <v>0</v>
      </c>
      <c r="F121" s="1740">
        <f>F80</f>
        <v>0</v>
      </c>
      <c r="G121" s="1740">
        <f>AL78OverigeWerkz_AG</f>
        <v>0</v>
      </c>
      <c r="H121" s="279">
        <f>H80</f>
        <v>0</v>
      </c>
      <c r="I121" s="279">
        <f>I80</f>
        <v>0</v>
      </c>
      <c r="J121" s="1045" t="s">
        <v>267</v>
      </c>
      <c r="K121" s="878">
        <v>121</v>
      </c>
    </row>
    <row r="122" spans="1:12" s="1729" customFormat="1" ht="30" customHeight="1" outlineLevel="1" x14ac:dyDescent="0.25">
      <c r="A122" s="1903" t="str">
        <f>A84</f>
        <v>79a</v>
      </c>
      <c r="B122" s="1900" t="str">
        <f>B84</f>
        <v>VEW: De na scheiding door de ex-partner betaalde hypotheeklasten als partneralimentatie  (zie "Basisgegevens" onder 138)</v>
      </c>
      <c r="C122" s="1492"/>
      <c r="D122" s="1907">
        <f>D84</f>
        <v>0</v>
      </c>
      <c r="E122" s="1908" t="s">
        <v>695</v>
      </c>
      <c r="F122" s="1908" t="s">
        <v>695</v>
      </c>
      <c r="G122" s="1911">
        <f>G84</f>
        <v>0</v>
      </c>
      <c r="H122" s="1515" t="s">
        <v>695</v>
      </c>
      <c r="I122" s="1515" t="s">
        <v>695</v>
      </c>
      <c r="J122" s="1728"/>
      <c r="K122" s="2014">
        <v>122</v>
      </c>
      <c r="L122" s="1"/>
    </row>
    <row r="123" spans="1:12" outlineLevel="1" x14ac:dyDescent="0.25">
      <c r="A123" s="1902">
        <f>A86</f>
        <v>81</v>
      </c>
      <c r="B123" s="287" t="str">
        <f>B86</f>
        <v>Belastbare periodieke uitkeringen en verstrekkingen:</v>
      </c>
      <c r="C123" s="1076" t="str">
        <f>C86</f>
        <v>(d)</v>
      </c>
      <c r="D123" s="1740">
        <f>AL81PeriodiekeUitk_AP</f>
        <v>0</v>
      </c>
      <c r="E123" s="1909">
        <f>AL81PeriodiekeUitk_KA_AP</f>
        <v>0</v>
      </c>
      <c r="F123" s="1909">
        <f>AL81PeriodiekeUitk_KA_AP</f>
        <v>0</v>
      </c>
      <c r="G123" s="1909">
        <f>AL81PeriodiekeUitk_AG</f>
        <v>0</v>
      </c>
      <c r="H123" s="806">
        <f>AL81PeriodiekeUitk_KA_AG</f>
        <v>0</v>
      </c>
      <c r="I123" s="806">
        <f>AL81PeriodiekeUitk_KA_AG</f>
        <v>0</v>
      </c>
      <c r="J123" s="1045" t="s">
        <v>267</v>
      </c>
      <c r="K123" s="878">
        <v>123</v>
      </c>
    </row>
    <row r="124" spans="1:12" outlineLevel="1" x14ac:dyDescent="0.25">
      <c r="A124" s="1902">
        <f>A91</f>
        <v>81</v>
      </c>
      <c r="B124" s="287" t="str">
        <f>B91</f>
        <v>OEW: Totaal fictief PA-inkomen verkregen via EWF / Rente:</v>
      </c>
      <c r="C124" s="1905"/>
      <c r="D124" s="1740">
        <f>AL81OEWFictiefInk_AP</f>
        <v>0</v>
      </c>
      <c r="E124" s="1908" t="s">
        <v>695</v>
      </c>
      <c r="F124" s="1908" t="s">
        <v>695</v>
      </c>
      <c r="G124" s="1909">
        <f>AL81OEWFictiefInk_AG</f>
        <v>0</v>
      </c>
      <c r="H124" s="1515" t="s">
        <v>695</v>
      </c>
      <c r="I124" s="1515" t="s">
        <v>695</v>
      </c>
      <c r="J124" s="1045" t="s">
        <v>267</v>
      </c>
      <c r="K124" s="878">
        <v>124</v>
      </c>
    </row>
    <row r="125" spans="1:12" ht="15.75" outlineLevel="1" thickBot="1" x14ac:dyDescent="0.3">
      <c r="A125" s="1902">
        <f>A102</f>
        <v>85</v>
      </c>
      <c r="B125" s="287" t="str">
        <f>B102</f>
        <v>Belastbare inkomsten uit eigen woning:</v>
      </c>
      <c r="C125" s="1077" t="str">
        <f>C102</f>
        <v xml:space="preserve">(e) </v>
      </c>
      <c r="D125" s="1908" t="s">
        <v>695</v>
      </c>
      <c r="E125" s="1908" t="s">
        <v>695</v>
      </c>
      <c r="F125" s="1908" t="s">
        <v>695</v>
      </c>
      <c r="G125" s="1908" t="s">
        <v>695</v>
      </c>
      <c r="H125" s="1515" t="s">
        <v>242</v>
      </c>
      <c r="I125" s="1515" t="s">
        <v>242</v>
      </c>
      <c r="J125" s="1047" t="s">
        <v>815</v>
      </c>
      <c r="K125" s="878">
        <v>125</v>
      </c>
    </row>
    <row r="126" spans="1:12" outlineLevel="1" x14ac:dyDescent="0.25">
      <c r="A126" s="1902">
        <f>A108</f>
        <v>89</v>
      </c>
      <c r="B126" s="287" t="str">
        <f>B108</f>
        <v>Uitgaven voor inkomensvoorziening:</v>
      </c>
      <c r="C126" s="1898" t="str">
        <f>C108</f>
        <v>(f)</v>
      </c>
      <c r="D126" s="1740">
        <f>AL89Inkomensvoorz_AP</f>
        <v>0</v>
      </c>
      <c r="E126" s="1740">
        <f>E108</f>
        <v>0</v>
      </c>
      <c r="F126" s="1740">
        <f>F108</f>
        <v>0</v>
      </c>
      <c r="G126" s="1740">
        <f>AL89Inkomensvoorz_AG</f>
        <v>0</v>
      </c>
      <c r="H126" s="279">
        <f>H108</f>
        <v>0</v>
      </c>
      <c r="I126" s="279">
        <f>I108</f>
        <v>0</v>
      </c>
      <c r="J126" s="1542" t="s">
        <v>267</v>
      </c>
      <c r="K126" s="878">
        <v>126</v>
      </c>
    </row>
    <row r="127" spans="1:12" outlineLevel="1" x14ac:dyDescent="0.25">
      <c r="A127" s="1902">
        <f>A110</f>
        <v>90</v>
      </c>
      <c r="B127" s="287" t="str">
        <f>B110</f>
        <v>Uitgaven voor kinderopvang (vervallen):</v>
      </c>
      <c r="C127" s="1076" t="str">
        <f>C110</f>
        <v>(g)</v>
      </c>
      <c r="D127" s="1740">
        <f>AL90Kinderopvang_AP</f>
        <v>0</v>
      </c>
      <c r="E127" s="1740">
        <f>E110</f>
        <v>0</v>
      </c>
      <c r="F127" s="1740">
        <f>F110</f>
        <v>0</v>
      </c>
      <c r="G127" s="1740">
        <f>AL90Kinderopvang_AG</f>
        <v>0</v>
      </c>
      <c r="H127" s="279">
        <f>H110</f>
        <v>0</v>
      </c>
      <c r="I127" s="279">
        <f>I110</f>
        <v>0</v>
      </c>
      <c r="J127" s="1045" t="s">
        <v>267</v>
      </c>
      <c r="K127" s="878">
        <v>127</v>
      </c>
    </row>
    <row r="128" spans="1:12" ht="15.75" outlineLevel="1" thickBot="1" x14ac:dyDescent="0.3">
      <c r="A128" s="1904">
        <f>A116</f>
        <v>93</v>
      </c>
      <c r="B128" s="1075" t="str">
        <f>B116</f>
        <v>Persoonsgebonden aftrek:</v>
      </c>
      <c r="C128" s="1077" t="str">
        <f>C116</f>
        <v>(h)</v>
      </c>
      <c r="D128" s="1589">
        <f>AL93PersGebAftrek_AP</f>
        <v>0</v>
      </c>
      <c r="E128" s="1589">
        <f>E116</f>
        <v>0</v>
      </c>
      <c r="F128" s="1589">
        <f>F116</f>
        <v>0</v>
      </c>
      <c r="G128" s="1589">
        <f>AL93PersGebAftrek_AG</f>
        <v>0</v>
      </c>
      <c r="H128" s="281">
        <f>H116</f>
        <v>0</v>
      </c>
      <c r="I128" s="281">
        <f>I116</f>
        <v>0</v>
      </c>
      <c r="J128" s="1543" t="s">
        <v>267</v>
      </c>
      <c r="K128" s="879">
        <v>128</v>
      </c>
    </row>
    <row r="129" spans="1:11" ht="16.5" thickBot="1" x14ac:dyDescent="0.3">
      <c r="A129" s="1899">
        <v>94</v>
      </c>
      <c r="B129" s="1771" t="s">
        <v>718</v>
      </c>
      <c r="C129" s="1901"/>
      <c r="D129" s="1906">
        <f t="shared" ref="D129:I129" si="0">SUM(D119:D125)-SUM(D126:D128)</f>
        <v>0</v>
      </c>
      <c r="E129" s="1906">
        <f t="shared" si="0"/>
        <v>0</v>
      </c>
      <c r="F129" s="1906">
        <f t="shared" si="0"/>
        <v>0</v>
      </c>
      <c r="G129" s="1910">
        <f t="shared" si="0"/>
        <v>0</v>
      </c>
      <c r="H129" s="1906">
        <f t="shared" si="0"/>
        <v>0</v>
      </c>
      <c r="I129" s="1906">
        <f t="shared" si="0"/>
        <v>0</v>
      </c>
      <c r="J129" s="1544" t="s">
        <v>161</v>
      </c>
      <c r="K129" s="2015">
        <v>129</v>
      </c>
    </row>
    <row r="130" spans="1:11" outlineLevel="1" x14ac:dyDescent="0.25">
      <c r="A130" s="1286"/>
      <c r="B130" s="2211" t="str">
        <f>Basisgegevens!N8&amp;" / "&amp;Basisgegevens!R8</f>
        <v>1: 0 tot 38441 tarief: 35,82% - Max. 13769 / 1: 0 tot 38441 tarief: 35,82% - Max. 13769</v>
      </c>
      <c r="C130" s="178" t="s">
        <v>73</v>
      </c>
      <c r="D130" s="812">
        <f>Basisgegevens!M8</f>
        <v>0</v>
      </c>
      <c r="E130" s="812">
        <f>Basisgegevens!$T8</f>
        <v>0</v>
      </c>
      <c r="F130" s="812">
        <f>Basisgegevens!$T8</f>
        <v>0</v>
      </c>
      <c r="G130" s="1133">
        <f>Basisgegevens!$Q8</f>
        <v>0</v>
      </c>
      <c r="H130" s="812">
        <f>Basisgegevens!$U8</f>
        <v>0</v>
      </c>
      <c r="I130" s="812">
        <f>Basisgegevens!$U8</f>
        <v>0</v>
      </c>
      <c r="J130" s="1489"/>
      <c r="K130" s="59">
        <v>130</v>
      </c>
    </row>
    <row r="131" spans="1:11" ht="30" outlineLevel="1" x14ac:dyDescent="0.25">
      <c r="A131" s="1287"/>
      <c r="B131" s="1501" t="str">
        <f>Basisgegevens!N9&amp;" / "&amp;Basisgegevens!R9</f>
        <v>2: 38441 tot 76816 tarief: 37,48% - Max. 14383 / 2: 38441 tot 76816 tarief: 37,48% - Max. 14383</v>
      </c>
      <c r="C131" s="176" t="s">
        <v>73</v>
      </c>
      <c r="D131" s="279">
        <f>Basisgegevens!M9</f>
        <v>0</v>
      </c>
      <c r="E131" s="806">
        <f>Basisgegevens!$T9</f>
        <v>0</v>
      </c>
      <c r="F131" s="806">
        <f>Basisgegevens!$T9</f>
        <v>0</v>
      </c>
      <c r="G131" s="1170">
        <f>Basisgegevens!Q9</f>
        <v>0</v>
      </c>
      <c r="H131" s="812">
        <f>Basisgegevens!$U9</f>
        <v>0</v>
      </c>
      <c r="I131" s="812">
        <f>Basisgegevens!$U9</f>
        <v>0</v>
      </c>
      <c r="J131" s="1530"/>
      <c r="K131" s="58">
        <v>131</v>
      </c>
    </row>
    <row r="132" spans="1:11" outlineLevel="1" x14ac:dyDescent="0.25">
      <c r="A132" s="1286"/>
      <c r="B132" s="2211" t="str">
        <f>Basisgegevens!N10&amp;" / "&amp;Basisgegevens!R10</f>
        <v>3: vanaf 76816 tarief: 49,5% / 3: vanaf 76816 tarief: 49,5%</v>
      </c>
      <c r="C132" s="178" t="s">
        <v>73</v>
      </c>
      <c r="D132" s="812">
        <f>Basisgegevens!M10</f>
        <v>0</v>
      </c>
      <c r="E132" s="812">
        <f>Basisgegevens!$T10</f>
        <v>0</v>
      </c>
      <c r="F132" s="812">
        <f>Basisgegevens!$T10</f>
        <v>0</v>
      </c>
      <c r="G132" s="1133">
        <f>Basisgegevens!Q10</f>
        <v>0</v>
      </c>
      <c r="H132" s="812">
        <f>Basisgegevens!$U10</f>
        <v>0</v>
      </c>
      <c r="I132" s="812">
        <f>Basisgegevens!$U10</f>
        <v>0</v>
      </c>
      <c r="J132" s="1530"/>
      <c r="K132" s="59">
        <v>132</v>
      </c>
    </row>
    <row r="133" spans="1:11" ht="30" customHeight="1" outlineLevel="1" thickBot="1" x14ac:dyDescent="0.3">
      <c r="A133" s="1287"/>
      <c r="B133" s="1501" t="s">
        <v>840</v>
      </c>
      <c r="C133" s="178" t="s">
        <v>73</v>
      </c>
      <c r="D133" s="812">
        <f>IF(D136&lt;=0,0,D136*(BGBelastingTariefSchijf3-BGBelastingTariefBeperking))</f>
        <v>0</v>
      </c>
      <c r="E133" s="812">
        <f>IF(E136&lt;=0,0,E136*(BGBelastingTariefSchijf3-BGBelastingTariefBeperking))</f>
        <v>0</v>
      </c>
      <c r="F133" s="812">
        <f>E133</f>
        <v>0</v>
      </c>
      <c r="G133" s="812">
        <f>IF(G136&lt;=0,0,G136*(BGBelastingTariefSchijf3-BGBelastingTariefBeperking))</f>
        <v>0</v>
      </c>
      <c r="H133" s="812">
        <f>IF(H136&lt;=0,0,H136*(BGBelastingTariefSchijf3-BGBelastingTariefBeperking))</f>
        <v>0</v>
      </c>
      <c r="I133" s="812">
        <f>H133</f>
        <v>0</v>
      </c>
      <c r="J133" s="1560" t="s">
        <v>839</v>
      </c>
      <c r="K133" s="58">
        <v>133</v>
      </c>
    </row>
    <row r="134" spans="1:11" ht="16.5" thickBot="1" x14ac:dyDescent="0.3">
      <c r="A134" s="1301">
        <v>95</v>
      </c>
      <c r="B134" s="174" t="s">
        <v>29</v>
      </c>
      <c r="C134" s="185"/>
      <c r="D134" s="816">
        <f t="shared" ref="D134:I134" si="1">SUM(D130:D133)</f>
        <v>0</v>
      </c>
      <c r="E134" s="816">
        <f t="shared" si="1"/>
        <v>0</v>
      </c>
      <c r="F134" s="816">
        <f t="shared" si="1"/>
        <v>0</v>
      </c>
      <c r="G134" s="1496">
        <f t="shared" si="1"/>
        <v>0</v>
      </c>
      <c r="H134" s="816">
        <f t="shared" si="1"/>
        <v>0</v>
      </c>
      <c r="I134" s="816">
        <f t="shared" si="1"/>
        <v>0</v>
      </c>
      <c r="J134" s="1545"/>
      <c r="K134" s="2016">
        <v>134</v>
      </c>
    </row>
    <row r="135" spans="1:11" x14ac:dyDescent="0.25">
      <c r="A135" s="1353"/>
      <c r="B135" s="1005" t="s">
        <v>694</v>
      </c>
      <c r="C135" s="175"/>
      <c r="D135" s="278">
        <f>SUM(D69:D74)+D100+AL93PersGebAftrek_AP</f>
        <v>0</v>
      </c>
      <c r="E135" s="278">
        <f>SUM(D69:D74)+D113</f>
        <v>0</v>
      </c>
      <c r="F135" s="278">
        <f>E135</f>
        <v>0</v>
      </c>
      <c r="G135" s="1137">
        <f>SUM(G69:G74)+G100+AL93PersGebAftrek_AG</f>
        <v>0</v>
      </c>
      <c r="H135" s="278">
        <f>SUM(G69:G74)+G113</f>
        <v>0</v>
      </c>
      <c r="I135" s="278">
        <f>H135</f>
        <v>0</v>
      </c>
      <c r="J135" s="1540" t="s">
        <v>693</v>
      </c>
      <c r="K135" s="24">
        <v>135</v>
      </c>
    </row>
    <row r="136" spans="1:11" ht="15.75" outlineLevel="1" thickBot="1" x14ac:dyDescent="0.3">
      <c r="A136" s="1644"/>
      <c r="B136" s="2210" t="str">
        <f>"Bedrag aan aftrekposten waar tariefsbeperking voor geldt bij inkomen &gt; € "&amp;Basisgegevens!N16</f>
        <v>Bedrag aan aftrekposten waar tariefsbeperking voor geldt bij inkomen &gt; € 76816</v>
      </c>
      <c r="C136" s="1493"/>
      <c r="D136" s="820">
        <f>IF(AL94VerzInkomen_AP-BGBelastingbedragSchijf3&lt;=0,0,IF(AL94VerzInkomen_AP-BGBelastingbedragSchijf3&lt;=SUM(D69:D74)+D100+AL93PersGebAftrek_AP,AL94VerzInkomen_AP-BGBelastingbedragSchijf3,SUM(D69:D74)+D100+AL93PersGebAftrek_AP))</f>
        <v>0</v>
      </c>
      <c r="E136" s="820">
        <f>IF(E129-BGBelastingbedragSchijf3&lt;=0,0,IF(E129-BGBelastingbedragSchijf3&lt;=SUM(D69:D74)+AL93PersGebAftrek_AP,E129-BGBelastingbedragSchijf3,SUM(D69:D74)+AL93PersGebAftrek_AP))</f>
        <v>0</v>
      </c>
      <c r="F136" s="820">
        <f>E136</f>
        <v>0</v>
      </c>
      <c r="G136" s="1138">
        <f>IF(AL94VerzInkomen_AG-BGBelastingbedragSchijf3&lt;=0,0,IF(AL94VerzInkomen_AG-BGBelastingbedragSchijf3&lt;=SUM(G69:G74)+G100+AL93PersGebAftrek_AG,AL94VerzInkomen_AG-BGBelastingbedragSchijf3,SUM(G69:G74)+G100+AL93PersGebAftrek_AG))</f>
        <v>0</v>
      </c>
      <c r="H136" s="820">
        <f>IF(H129-BGBelastingbedragSchijf3&lt;=0,0,IF(H129-BGBelastingbedragSchijf3&lt;=SUM(G69:G74)+SUM(G97:G101)+AL93PersGebAftrek_AG,H129-BGBelastingbedragSchijf3,SUM(G69:G74)+AL93PersGebAftrek_AG))</f>
        <v>0</v>
      </c>
      <c r="I136" s="820">
        <f>H136</f>
        <v>0</v>
      </c>
      <c r="J136" s="1536" t="s">
        <v>839</v>
      </c>
      <c r="K136" s="298">
        <v>136</v>
      </c>
    </row>
    <row r="137" spans="1:11" ht="15.75" thickBot="1" x14ac:dyDescent="0.3">
      <c r="A137" s="1604"/>
      <c r="B137" s="1894"/>
      <c r="C137" s="1912"/>
      <c r="D137" s="1913"/>
      <c r="E137" s="1913"/>
      <c r="F137" s="1913"/>
      <c r="G137" s="1913"/>
      <c r="H137" s="1913"/>
      <c r="I137" s="1913"/>
      <c r="J137" s="2443"/>
      <c r="K137" s="1895">
        <v>137</v>
      </c>
    </row>
    <row r="138" spans="1:11" ht="15.75" outlineLevel="1" thickBot="1" x14ac:dyDescent="0.3">
      <c r="A138" s="1598"/>
      <c r="B138" s="2205" t="s">
        <v>1043</v>
      </c>
      <c r="C138" s="1481"/>
      <c r="D138" s="2206" t="s">
        <v>429</v>
      </c>
      <c r="E138" s="2207" t="s">
        <v>54</v>
      </c>
      <c r="G138" s="2207" t="s">
        <v>429</v>
      </c>
      <c r="H138" s="2207" t="s">
        <v>54</v>
      </c>
      <c r="J138" s="1079"/>
      <c r="K138" s="2307">
        <v>138</v>
      </c>
    </row>
    <row r="139" spans="1:11" outlineLevel="1" x14ac:dyDescent="0.25">
      <c r="A139" s="1353"/>
      <c r="B139" s="2203" t="s">
        <v>1040</v>
      </c>
      <c r="C139" s="175"/>
      <c r="D139" s="2086">
        <f>AL85InkomstenEW_AP*-1</f>
        <v>0</v>
      </c>
      <c r="E139" s="1071">
        <f>D139/12</f>
        <v>0</v>
      </c>
      <c r="F139" s="2070"/>
      <c r="G139" s="278">
        <f>AL85InkomstenEW_AG/12*-1</f>
        <v>0</v>
      </c>
      <c r="H139" s="917">
        <f>G139/12</f>
        <v>0</v>
      </c>
      <c r="I139" s="2070"/>
      <c r="J139" s="1079" t="s">
        <v>816</v>
      </c>
      <c r="K139" s="2444">
        <v>139</v>
      </c>
    </row>
    <row r="140" spans="1:11" ht="15.75" thickBot="1" x14ac:dyDescent="0.3">
      <c r="A140" s="1517"/>
      <c r="B140" s="2204" t="s">
        <v>1041</v>
      </c>
      <c r="C140" s="385"/>
      <c r="D140" s="2208">
        <f>IF(D141="Geen",0,IF(D141="Schijf 1",D139*BGBelastingTariefSchijf1,D139*BGBelastingTariefSchijf2))</f>
        <v>0</v>
      </c>
      <c r="E140" s="993">
        <f>D140/12</f>
        <v>0</v>
      </c>
      <c r="F140" s="2070"/>
      <c r="G140" s="1518">
        <f>IF(G141="Geen",0,IF(G141="Schijf 1",G139*BGBelastingTariefSchijf1,G139*BGBelastingTariefSchijf2))</f>
        <v>0</v>
      </c>
      <c r="H140" s="993">
        <f>G140/12</f>
        <v>0</v>
      </c>
      <c r="I140" s="2070"/>
      <c r="J140" s="1079" t="s">
        <v>1042</v>
      </c>
      <c r="K140" s="2445">
        <v>140</v>
      </c>
    </row>
    <row r="141" spans="1:11" ht="15.75" thickBot="1" x14ac:dyDescent="0.3">
      <c r="A141" s="1656"/>
      <c r="B141" s="1657"/>
      <c r="C141" s="1658"/>
      <c r="D141" s="1488" t="str">
        <f>IF(AL94VerzInkomen_AP+AL85InkomstenEW_AP&lt;=0.01,"Geen",IF(AL94VerzInkomen_AP+AL85InkomstenEW_AP&lt;Basisgegevens!N15,"Schijf 1",IF(AL94VerzInkomen_AP+AL85InkomstenEW_AP&lt;Basisgegevens!N16,"Schijf 2","Schijf 3")))</f>
        <v>Geen</v>
      </c>
      <c r="E141" s="1191"/>
      <c r="G141" s="1488" t="str">
        <f>IF(AL94VerzInkomen_AG+AL85InkomstenEW_AG&lt;Basisgegevens!N15,"Schijf 1",IF(AL94VerzInkomen_AG+AL85InkomstenEW_AG&lt;Basisgegevens!N16,"Schijf 2","Schijf 3"))</f>
        <v>Schijf 1</v>
      </c>
      <c r="H141" s="1659"/>
      <c r="J141" s="2447"/>
      <c r="K141" s="2446">
        <v>141</v>
      </c>
    </row>
    <row r="142" spans="1:11" ht="30.75" thickBot="1" x14ac:dyDescent="0.3">
      <c r="A142" s="1660"/>
      <c r="B142" s="1661" t="s">
        <v>30</v>
      </c>
      <c r="C142" s="1662"/>
      <c r="D142" s="821"/>
      <c r="E142" s="821"/>
      <c r="F142" s="821"/>
      <c r="G142" s="821"/>
      <c r="H142" s="821"/>
      <c r="I142" s="1663"/>
      <c r="J142" s="1646" t="s">
        <v>192</v>
      </c>
      <c r="K142" s="1998">
        <v>142</v>
      </c>
    </row>
    <row r="143" spans="1:11" outlineLevel="1" x14ac:dyDescent="0.25">
      <c r="A143" s="1286">
        <v>96</v>
      </c>
      <c r="B143" s="75" t="s">
        <v>916</v>
      </c>
      <c r="C143" s="178" t="s">
        <v>73</v>
      </c>
      <c r="D143" s="846">
        <v>0</v>
      </c>
      <c r="E143" s="812">
        <f>D143</f>
        <v>0</v>
      </c>
      <c r="F143" s="829">
        <f>D143</f>
        <v>0</v>
      </c>
      <c r="G143" s="846">
        <v>0</v>
      </c>
      <c r="H143" s="812">
        <f>G143</f>
        <v>0</v>
      </c>
      <c r="I143" s="812">
        <f>G143</f>
        <v>0</v>
      </c>
      <c r="J143" s="1539" t="s">
        <v>164</v>
      </c>
      <c r="K143" s="59">
        <v>143</v>
      </c>
    </row>
    <row r="144" spans="1:11" outlineLevel="1" x14ac:dyDescent="0.25">
      <c r="A144" s="1302">
        <v>97</v>
      </c>
      <c r="B144" s="513" t="s">
        <v>32</v>
      </c>
      <c r="C144" s="514"/>
      <c r="D144" s="818">
        <v>0</v>
      </c>
      <c r="E144" s="818">
        <v>0</v>
      </c>
      <c r="F144" s="827">
        <v>0</v>
      </c>
      <c r="G144" s="818">
        <v>0</v>
      </c>
      <c r="H144" s="818">
        <v>0</v>
      </c>
      <c r="I144" s="818">
        <v>0</v>
      </c>
      <c r="J144" s="1537" t="s">
        <v>204</v>
      </c>
      <c r="K144" s="1757">
        <v>144</v>
      </c>
    </row>
    <row r="145" spans="1:11" outlineLevel="1" x14ac:dyDescent="0.25">
      <c r="A145" s="1287">
        <v>98</v>
      </c>
      <c r="B145" s="266" t="s">
        <v>334</v>
      </c>
      <c r="C145" s="176" t="s">
        <v>73</v>
      </c>
      <c r="D145" s="279">
        <f>SUM(D143:D144)</f>
        <v>0</v>
      </c>
      <c r="E145" s="279">
        <f>D145</f>
        <v>0</v>
      </c>
      <c r="F145" s="824">
        <f>D145</f>
        <v>0</v>
      </c>
      <c r="G145" s="279">
        <f>SUM(G143:G144)</f>
        <v>0</v>
      </c>
      <c r="H145" s="279">
        <f>G145</f>
        <v>0</v>
      </c>
      <c r="I145" s="279">
        <f>G145</f>
        <v>0</v>
      </c>
      <c r="J145" s="1530" t="s">
        <v>164</v>
      </c>
      <c r="K145" s="58">
        <v>145</v>
      </c>
    </row>
    <row r="146" spans="1:11" ht="75.75" outlineLevel="1" thickBot="1" x14ac:dyDescent="0.3">
      <c r="A146" s="1290">
        <v>99</v>
      </c>
      <c r="B146" s="83" t="s">
        <v>917</v>
      </c>
      <c r="C146" s="183" t="s">
        <v>68</v>
      </c>
      <c r="D146" s="845">
        <v>0</v>
      </c>
      <c r="E146" s="814">
        <f>D146</f>
        <v>0</v>
      </c>
      <c r="F146" s="828">
        <f>D146</f>
        <v>0</v>
      </c>
      <c r="G146" s="845">
        <v>0</v>
      </c>
      <c r="H146" s="814">
        <f>G146</f>
        <v>0</v>
      </c>
      <c r="I146" s="814">
        <f>G146</f>
        <v>0</v>
      </c>
      <c r="J146" s="1531" t="s">
        <v>939</v>
      </c>
      <c r="K146" s="152">
        <v>146</v>
      </c>
    </row>
    <row r="147" spans="1:11" ht="16.5" thickBot="1" x14ac:dyDescent="0.3">
      <c r="A147" s="1300">
        <v>100</v>
      </c>
      <c r="B147" s="165" t="s">
        <v>203</v>
      </c>
      <c r="C147" s="186"/>
      <c r="D147" s="815">
        <f>IF(OR(D145=0,D146&gt;D145),0,D145-D146)</f>
        <v>0</v>
      </c>
      <c r="E147" s="815">
        <f>AL100InkAanmBelang_AP</f>
        <v>0</v>
      </c>
      <c r="F147" s="831">
        <f>AL100InkAanmBelang_AP</f>
        <v>0</v>
      </c>
      <c r="G147" s="815">
        <f>IF(OR(G145=0,G146&gt;G145),0,G145-G146)</f>
        <v>0</v>
      </c>
      <c r="H147" s="815">
        <f>G147</f>
        <v>0</v>
      </c>
      <c r="I147" s="815">
        <f>AL100InkAanmBelang_AG</f>
        <v>0</v>
      </c>
      <c r="J147" s="1546" t="s">
        <v>193</v>
      </c>
      <c r="K147" s="2017">
        <v>147</v>
      </c>
    </row>
    <row r="148" spans="1:11" ht="32.25" thickBot="1" x14ac:dyDescent="0.3">
      <c r="A148" s="1650">
        <v>101</v>
      </c>
      <c r="B148" s="1651" t="str">
        <f>"Inkomstebelasting (het o.b.v. belastbaar inkomen geldende tarief is: "&amp;BGTariefBox2*100&amp;"%) box II:"</f>
        <v>Inkomstebelasting (het o.b.v. belastbaar inkomen geldende tarief is: 24,5%) box II:</v>
      </c>
      <c r="C148" s="1652"/>
      <c r="D148" s="1653" cm="1">
        <f t="array" ref="D148">BGTariefBox2*D147</f>
        <v>0</v>
      </c>
      <c r="E148" s="386" cm="1">
        <f t="array" ref="E148">BGTariefBox2*E147</f>
        <v>0</v>
      </c>
      <c r="F148" s="1654" cm="1">
        <f t="array" ref="F148">BGTariefBox2*F147</f>
        <v>0</v>
      </c>
      <c r="G148" s="1653" cm="1">
        <f t="array" ref="G148">BGTariefBox2*G147</f>
        <v>0</v>
      </c>
      <c r="H148" s="1653" cm="1">
        <f t="array" ref="H148">BGTariefBox2*H147</f>
        <v>0</v>
      </c>
      <c r="I148" s="1653" cm="1">
        <f t="array" ref="I148">BGTariefBox2*I147</f>
        <v>0</v>
      </c>
      <c r="J148" s="1655"/>
      <c r="K148" s="2018">
        <v>148</v>
      </c>
    </row>
    <row r="149" spans="1:11" ht="15.75" thickBot="1" x14ac:dyDescent="0.3">
      <c r="A149" s="1604"/>
      <c r="B149" s="1512"/>
      <c r="C149" s="1605"/>
      <c r="D149" s="1606"/>
      <c r="E149" s="1606"/>
      <c r="F149" s="1606"/>
      <c r="G149" s="1606"/>
      <c r="H149" s="1606"/>
      <c r="I149" s="1606"/>
      <c r="J149" s="1549"/>
      <c r="K149" s="1097">
        <v>149</v>
      </c>
    </row>
    <row r="150" spans="1:11" ht="75.75" thickBot="1" x14ac:dyDescent="0.3">
      <c r="A150" s="1664"/>
      <c r="B150" s="1665" t="s">
        <v>31</v>
      </c>
      <c r="C150" s="1666"/>
      <c r="D150" s="834"/>
      <c r="E150" s="834"/>
      <c r="F150" s="834"/>
      <c r="G150" s="834"/>
      <c r="H150" s="834"/>
      <c r="I150" s="1667"/>
      <c r="J150" s="1646" t="s">
        <v>172</v>
      </c>
      <c r="K150" s="1561">
        <v>150</v>
      </c>
    </row>
    <row r="151" spans="1:11" outlineLevel="1" x14ac:dyDescent="0.25">
      <c r="A151" s="1286">
        <v>102</v>
      </c>
      <c r="B151" s="371" t="s">
        <v>33</v>
      </c>
      <c r="C151" s="179"/>
      <c r="D151" s="810"/>
      <c r="E151" s="830"/>
      <c r="F151" s="810"/>
      <c r="G151" s="2417"/>
      <c r="H151" s="810"/>
      <c r="I151" s="810"/>
      <c r="J151" s="1547"/>
      <c r="K151" s="59">
        <v>151</v>
      </c>
    </row>
    <row r="152" spans="1:11" outlineLevel="1" x14ac:dyDescent="0.25">
      <c r="A152" s="1287"/>
      <c r="B152" s="73" t="str">
        <f>Basisgegevens!L210&amp;") "&amp;Basisgegevens!M210</f>
        <v>a) Bank- en spaartegoeden en contant geld</v>
      </c>
      <c r="C152" s="176" t="s">
        <v>73</v>
      </c>
      <c r="D152" s="280">
        <v>0</v>
      </c>
      <c r="E152" s="824">
        <f>D152</f>
        <v>0</v>
      </c>
      <c r="F152" s="279">
        <f>D152</f>
        <v>0</v>
      </c>
      <c r="G152" s="2409">
        <v>0</v>
      </c>
      <c r="H152" s="279">
        <f>G152</f>
        <v>0</v>
      </c>
      <c r="I152" s="279">
        <f>G152</f>
        <v>0</v>
      </c>
      <c r="J152" s="1530" t="s">
        <v>164</v>
      </c>
      <c r="K152" s="58">
        <v>152</v>
      </c>
    </row>
    <row r="153" spans="1:11" outlineLevel="1" x14ac:dyDescent="0.25">
      <c r="A153" s="1287"/>
      <c r="B153" s="73" t="str">
        <f>Basisgegevens!L211&amp;") "&amp;Basisgegevens!M211</f>
        <v>b) Beleggingen/andere bezittingen incl. OEW</v>
      </c>
      <c r="C153" s="176" t="s">
        <v>73</v>
      </c>
      <c r="D153" s="280">
        <v>0</v>
      </c>
      <c r="E153" s="824">
        <f>D153</f>
        <v>0</v>
      </c>
      <c r="F153" s="279">
        <f>D153</f>
        <v>0</v>
      </c>
      <c r="G153" s="2409">
        <v>0</v>
      </c>
      <c r="H153" s="279">
        <f>G153</f>
        <v>0</v>
      </c>
      <c r="I153" s="279">
        <f>G153</f>
        <v>0</v>
      </c>
      <c r="J153" s="1530" t="s">
        <v>164</v>
      </c>
      <c r="K153" s="58">
        <v>153</v>
      </c>
    </row>
    <row r="154" spans="1:11" ht="18" customHeight="1" outlineLevel="1" thickBot="1" x14ac:dyDescent="0.3">
      <c r="A154" s="1290"/>
      <c r="B154" s="83" t="str">
        <f>Basisgegevens!L212&amp;") "&amp;Basisgegevens!M212</f>
        <v>c) Schulden</v>
      </c>
      <c r="C154" s="183" t="s">
        <v>68</v>
      </c>
      <c r="D154" s="845">
        <v>0</v>
      </c>
      <c r="E154" s="828">
        <f>D154</f>
        <v>0</v>
      </c>
      <c r="F154" s="814">
        <f>D154</f>
        <v>0</v>
      </c>
      <c r="G154" s="2418">
        <v>0</v>
      </c>
      <c r="H154" s="814">
        <f>G154</f>
        <v>0</v>
      </c>
      <c r="I154" s="814">
        <f>G154</f>
        <v>0</v>
      </c>
      <c r="J154" s="1531" t="s">
        <v>164</v>
      </c>
      <c r="K154" s="152">
        <v>154</v>
      </c>
    </row>
    <row r="155" spans="1:11" ht="15.75" thickBot="1" x14ac:dyDescent="0.3">
      <c r="A155" s="1300">
        <v>103</v>
      </c>
      <c r="B155" s="173" t="s">
        <v>275</v>
      </c>
      <c r="C155" s="188"/>
      <c r="D155" s="815">
        <f t="shared" ref="D155:I155" si="2">SUM(D152:D153)-D154</f>
        <v>0</v>
      </c>
      <c r="E155" s="831">
        <f t="shared" si="2"/>
        <v>0</v>
      </c>
      <c r="F155" s="815">
        <f t="shared" si="2"/>
        <v>0</v>
      </c>
      <c r="G155" s="2419">
        <f t="shared" si="2"/>
        <v>0</v>
      </c>
      <c r="H155" s="815">
        <f t="shared" si="2"/>
        <v>0</v>
      </c>
      <c r="I155" s="815">
        <f t="shared" si="2"/>
        <v>0</v>
      </c>
      <c r="J155" s="1546" t="s">
        <v>979</v>
      </c>
      <c r="K155" s="2017">
        <v>155</v>
      </c>
    </row>
    <row r="156" spans="1:11" outlineLevel="1" x14ac:dyDescent="0.25">
      <c r="A156" s="1287">
        <v>104</v>
      </c>
      <c r="B156" s="77" t="s">
        <v>120</v>
      </c>
      <c r="C156" s="184"/>
      <c r="D156" s="813"/>
      <c r="E156" s="825"/>
      <c r="F156" s="813"/>
      <c r="G156" s="2420"/>
      <c r="H156" s="813"/>
      <c r="I156" s="813"/>
      <c r="J156" s="1530"/>
      <c r="K156" s="58">
        <v>156</v>
      </c>
    </row>
    <row r="157" spans="1:11" ht="15.75" outlineLevel="1" thickBot="1" x14ac:dyDescent="0.3">
      <c r="A157" s="1290"/>
      <c r="B157" s="76" t="str">
        <f>"Sparen en Beleggen: Waarde per 1 januari "&amp;BGJaarBerekening&amp;" van:"</f>
        <v>Sparen en Beleggen: Waarde per 1 januari 2025 van:</v>
      </c>
      <c r="C157" s="138"/>
      <c r="D157" s="839"/>
      <c r="E157" s="1159"/>
      <c r="F157" s="839"/>
      <c r="G157" s="2421"/>
      <c r="H157" s="839"/>
      <c r="I157" s="839"/>
      <c r="J157" s="1531" t="s">
        <v>895</v>
      </c>
      <c r="K157" s="152">
        <v>157</v>
      </c>
    </row>
    <row r="158" spans="1:11" ht="15.75" outlineLevel="1" thickBot="1" x14ac:dyDescent="0.3">
      <c r="A158" s="1082"/>
      <c r="B158" s="1484" t="str">
        <f>Basisgegevens!L210&amp;") "&amp;Basisgegevens!M210</f>
        <v>a) Bank- en spaartegoeden en contant geld</v>
      </c>
      <c r="C158" s="1485" t="s">
        <v>73</v>
      </c>
      <c r="D158" s="1486">
        <v>0</v>
      </c>
      <c r="E158" s="1487">
        <f>D158</f>
        <v>0</v>
      </c>
      <c r="F158" s="1488">
        <f>D158</f>
        <v>0</v>
      </c>
      <c r="G158" s="2422">
        <v>0</v>
      </c>
      <c r="H158" s="1488">
        <f>G158</f>
        <v>0</v>
      </c>
      <c r="I158" s="1488">
        <f>G158</f>
        <v>0</v>
      </c>
      <c r="J158" s="1540" t="s">
        <v>164</v>
      </c>
      <c r="K158" s="1097">
        <v>158</v>
      </c>
    </row>
    <row r="159" spans="1:11" outlineLevel="1" x14ac:dyDescent="0.25">
      <c r="A159" s="1353"/>
      <c r="B159" s="1502" t="str">
        <f>Basisgegevens!L211&amp;") "&amp;Basisgegevens!M211</f>
        <v>b) Beleggingen/andere bezittingen incl. OEW</v>
      </c>
      <c r="C159" s="175" t="s">
        <v>73</v>
      </c>
      <c r="D159" s="31">
        <v>0</v>
      </c>
      <c r="E159" s="822">
        <f>D159</f>
        <v>0</v>
      </c>
      <c r="F159" s="278">
        <f>D159</f>
        <v>0</v>
      </c>
      <c r="G159" s="2423">
        <v>0</v>
      </c>
      <c r="H159" s="278">
        <f>G159</f>
        <v>0</v>
      </c>
      <c r="I159" s="278">
        <f>G159</f>
        <v>0</v>
      </c>
      <c r="J159" s="1489" t="s">
        <v>164</v>
      </c>
      <c r="K159" s="24">
        <v>159</v>
      </c>
    </row>
    <row r="160" spans="1:11" outlineLevel="1" x14ac:dyDescent="0.25">
      <c r="A160" s="137">
        <f>Basisgegevens!L187</f>
        <v>104</v>
      </c>
      <c r="B160" s="83" t="str">
        <f>"      OEW: "&amp;Basisgegevens!M187</f>
        <v xml:space="preserve">      OEW: Eigen Woning Forfait aandeel in  box 3</v>
      </c>
      <c r="C160" s="176" t="s">
        <v>73</v>
      </c>
      <c r="D160" s="279">
        <f>IF(BGOEWRekenModule="Nee",0,BGOEW104EWFBox3_AP)</f>
        <v>0</v>
      </c>
      <c r="E160" s="1172"/>
      <c r="F160" s="1173"/>
      <c r="G160" s="1170">
        <f>IF(BGOEWRekenModule="Nee",0,BGOEW104EWFBox3_AG)</f>
        <v>0</v>
      </c>
      <c r="H160" s="1173"/>
      <c r="I160" s="1173"/>
      <c r="J160" s="1530"/>
      <c r="K160" s="152">
        <v>160</v>
      </c>
    </row>
    <row r="161" spans="1:11" ht="15.75" outlineLevel="1" thickBot="1" x14ac:dyDescent="0.3">
      <c r="A161" s="71"/>
      <c r="B161" s="74" t="s">
        <v>810</v>
      </c>
      <c r="C161" s="177" t="s">
        <v>73</v>
      </c>
      <c r="D161" s="281">
        <f>IF(OR(BGOEWRekenModule="Nee",D164=0),0,Basisgegevens!C174/2)</f>
        <v>0</v>
      </c>
      <c r="E161" s="1332"/>
      <c r="F161" s="1333"/>
      <c r="G161" s="2424">
        <f>IF(OR(BGOEWRekenModule="Nee",G164=0),0,Basisgegevens!C174/2)</f>
        <v>0</v>
      </c>
      <c r="H161" s="1333"/>
      <c r="I161" s="1333"/>
      <c r="J161" s="1490"/>
      <c r="K161" s="26">
        <v>161</v>
      </c>
    </row>
    <row r="162" spans="1:11" ht="15.75" outlineLevel="1" thickBot="1" x14ac:dyDescent="0.3">
      <c r="A162" s="1644"/>
      <c r="B162" s="1964"/>
      <c r="C162" s="1616"/>
      <c r="D162" s="832"/>
      <c r="E162" s="1965"/>
      <c r="F162" s="1966"/>
      <c r="G162" s="832"/>
      <c r="H162" s="1966"/>
      <c r="I162" s="1966"/>
      <c r="K162" s="298">
        <v>162</v>
      </c>
    </row>
    <row r="163" spans="1:11" ht="15.75" outlineLevel="1" thickBot="1" x14ac:dyDescent="0.3">
      <c r="A163" s="1353"/>
      <c r="B163" s="1480" t="str">
        <f>Basisgegevens!L212&amp;") "&amp;Basisgegevens!M212</f>
        <v>c) Schulden</v>
      </c>
      <c r="C163" s="1481" t="s">
        <v>68</v>
      </c>
      <c r="D163" s="1482">
        <v>0</v>
      </c>
      <c r="E163" s="2086">
        <f>D163</f>
        <v>0</v>
      </c>
      <c r="F163" s="278">
        <f>D163</f>
        <v>0</v>
      </c>
      <c r="G163" s="1144">
        <v>0</v>
      </c>
      <c r="H163" s="278">
        <f>G163</f>
        <v>0</v>
      </c>
      <c r="I163" s="278">
        <f>G163</f>
        <v>0</v>
      </c>
      <c r="J163" s="1489" t="s">
        <v>164</v>
      </c>
      <c r="K163" s="24">
        <v>163</v>
      </c>
    </row>
    <row r="164" spans="1:11" ht="15.75" outlineLevel="1" thickBot="1" x14ac:dyDescent="0.3">
      <c r="A164" s="71">
        <f>Basisgegevens!L195</f>
        <v>104</v>
      </c>
      <c r="B164" s="1503" t="str">
        <f>"      OEW: "&amp;Basisgegevens!M195</f>
        <v xml:space="preserve">      OEW: Aandeel in schuld van de Onverdeeld Eigen Woning in box 3 </v>
      </c>
      <c r="C164" s="1479" t="s">
        <v>68</v>
      </c>
      <c r="D164" s="1483">
        <f>IF(BGOEWRekenModule="Nee",0,BGOEW104SchuldBox3_AP)</f>
        <v>0</v>
      </c>
      <c r="E164" s="2415"/>
      <c r="F164" s="1333"/>
      <c r="G164" s="919">
        <f>IF(BGOEWRekenModule="Nee",0,BGOEW104SchuldBox3_AG)</f>
        <v>0</v>
      </c>
      <c r="H164" s="1333"/>
      <c r="I164" s="1333"/>
      <c r="J164" s="1490"/>
      <c r="K164" s="26">
        <v>164</v>
      </c>
    </row>
    <row r="165" spans="1:11" outlineLevel="1" x14ac:dyDescent="0.25">
      <c r="A165" s="1286"/>
      <c r="B165" s="1491" t="s">
        <v>748</v>
      </c>
      <c r="C165" s="178" t="s">
        <v>68</v>
      </c>
      <c r="D165" s="812">
        <f t="shared" ref="D165:I165" si="3">BGDrempelRendement</f>
        <v>3800</v>
      </c>
      <c r="E165" s="1915">
        <f t="shared" si="3"/>
        <v>3800</v>
      </c>
      <c r="F165" s="812">
        <f t="shared" si="3"/>
        <v>3800</v>
      </c>
      <c r="G165" s="1133">
        <f t="shared" si="3"/>
        <v>3800</v>
      </c>
      <c r="H165" s="812">
        <f t="shared" si="3"/>
        <v>3800</v>
      </c>
      <c r="I165" s="812">
        <f t="shared" si="3"/>
        <v>3800</v>
      </c>
      <c r="J165" s="1539"/>
      <c r="K165" s="59">
        <v>165</v>
      </c>
    </row>
    <row r="166" spans="1:11" outlineLevel="1" x14ac:dyDescent="0.25">
      <c r="A166" s="1287"/>
      <c r="B166" s="1331" t="s">
        <v>747</v>
      </c>
      <c r="C166" s="176" t="s">
        <v>68</v>
      </c>
      <c r="D166" s="279">
        <f t="shared" ref="D166:I166" si="4">IF(BGDrempelRendement&gt;D163+D164,0,D163+D164-BGDrempelRendement)</f>
        <v>0</v>
      </c>
      <c r="E166" s="1740">
        <f t="shared" si="4"/>
        <v>0</v>
      </c>
      <c r="F166" s="279">
        <f t="shared" si="4"/>
        <v>0</v>
      </c>
      <c r="G166" s="1170">
        <f t="shared" si="4"/>
        <v>0</v>
      </c>
      <c r="H166" s="279">
        <f t="shared" si="4"/>
        <v>0</v>
      </c>
      <c r="I166" s="279">
        <f t="shared" si="4"/>
        <v>0</v>
      </c>
      <c r="J166" s="1530"/>
      <c r="K166" s="58">
        <v>166</v>
      </c>
    </row>
    <row r="167" spans="1:11" outlineLevel="1" x14ac:dyDescent="0.25">
      <c r="A167" s="1287"/>
      <c r="B167" s="2127" t="s">
        <v>1001</v>
      </c>
      <c r="C167" s="2124"/>
      <c r="D167" s="2125"/>
      <c r="E167" s="2126"/>
      <c r="F167" s="2125"/>
      <c r="G167" s="2425"/>
      <c r="H167" s="2125"/>
      <c r="I167" s="2125"/>
      <c r="J167" s="1548"/>
      <c r="K167" s="58">
        <v>167</v>
      </c>
    </row>
    <row r="168" spans="1:11" outlineLevel="1" x14ac:dyDescent="0.25">
      <c r="A168" s="1304">
        <v>105</v>
      </c>
      <c r="B168" s="73" t="s">
        <v>120</v>
      </c>
      <c r="C168" s="340"/>
      <c r="D168" s="819">
        <f t="shared" ref="D168:I168" si="5">SUM(D158:D161)-D166</f>
        <v>0</v>
      </c>
      <c r="E168" s="2416">
        <f t="shared" si="5"/>
        <v>0</v>
      </c>
      <c r="F168" s="819">
        <f t="shared" si="5"/>
        <v>0</v>
      </c>
      <c r="G168" s="2426">
        <f t="shared" si="5"/>
        <v>0</v>
      </c>
      <c r="H168" s="819">
        <f t="shared" si="5"/>
        <v>0</v>
      </c>
      <c r="I168" s="819">
        <f t="shared" si="5"/>
        <v>0</v>
      </c>
      <c r="J168" s="1530"/>
      <c r="K168" s="2019">
        <v>168</v>
      </c>
    </row>
    <row r="169" spans="1:11" ht="30" outlineLevel="1" x14ac:dyDescent="0.25">
      <c r="A169" s="1287">
        <v>106</v>
      </c>
      <c r="B169" s="73" t="str">
        <f>"Heffingsvrij vermogen (alleenstaande) a € "&amp;BGHeffingsvrijVermogen</f>
        <v>Heffingsvrij vermogen (alleenstaande) a € 57684</v>
      </c>
      <c r="C169" s="176" t="s">
        <v>68</v>
      </c>
      <c r="D169" s="279">
        <f t="shared" ref="D169:I169" si="6">IF(OR(D168&gt;BGHeffingsvrijVermogen,D168&lt;0),BGHeffingsvrijVermogen,D168)</f>
        <v>0</v>
      </c>
      <c r="E169" s="1740">
        <f t="shared" si="6"/>
        <v>0</v>
      </c>
      <c r="F169" s="279">
        <f t="shared" si="6"/>
        <v>0</v>
      </c>
      <c r="G169" s="1170">
        <f t="shared" si="6"/>
        <v>0</v>
      </c>
      <c r="H169" s="279">
        <f t="shared" si="6"/>
        <v>0</v>
      </c>
      <c r="I169" s="279">
        <f t="shared" si="6"/>
        <v>0</v>
      </c>
      <c r="J169" s="1530" t="s">
        <v>171</v>
      </c>
      <c r="K169" s="58">
        <v>169</v>
      </c>
    </row>
    <row r="170" spans="1:11" ht="45.75" outlineLevel="1" thickBot="1" x14ac:dyDescent="0.3">
      <c r="A170" s="1290">
        <v>107</v>
      </c>
      <c r="B170" s="83" t="s">
        <v>165</v>
      </c>
      <c r="C170" s="183" t="s">
        <v>68</v>
      </c>
      <c r="D170" s="845">
        <v>0</v>
      </c>
      <c r="E170" s="828">
        <f>D170</f>
        <v>0</v>
      </c>
      <c r="F170" s="814">
        <f>D170</f>
        <v>0</v>
      </c>
      <c r="G170" s="2418">
        <v>0</v>
      </c>
      <c r="H170" s="814">
        <f>G170</f>
        <v>0</v>
      </c>
      <c r="I170" s="814">
        <f>G170</f>
        <v>0</v>
      </c>
      <c r="J170" s="1531" t="s">
        <v>196</v>
      </c>
      <c r="K170" s="152">
        <v>170</v>
      </c>
    </row>
    <row r="171" spans="1:11" ht="15.75" thickBot="1" x14ac:dyDescent="0.3">
      <c r="A171" s="1300">
        <v>108</v>
      </c>
      <c r="B171" s="173" t="s">
        <v>1002</v>
      </c>
      <c r="C171" s="186"/>
      <c r="D171" s="815">
        <f t="shared" ref="D171:I171" si="7">IF(D168&lt;0,D168-D170,D168-SUM(D169:D170))</f>
        <v>0</v>
      </c>
      <c r="E171" s="815">
        <f t="shared" si="7"/>
        <v>0</v>
      </c>
      <c r="F171" s="815">
        <f t="shared" si="7"/>
        <v>0</v>
      </c>
      <c r="G171" s="2419">
        <f t="shared" si="7"/>
        <v>0</v>
      </c>
      <c r="H171" s="2419">
        <f t="shared" si="7"/>
        <v>0</v>
      </c>
      <c r="I171" s="2419">
        <f t="shared" si="7"/>
        <v>0</v>
      </c>
      <c r="J171" s="1546" t="s">
        <v>166</v>
      </c>
      <c r="K171" s="2017">
        <v>171</v>
      </c>
    </row>
    <row r="172" spans="1:11" ht="30.75" thickBot="1" x14ac:dyDescent="0.3">
      <c r="A172" s="1334"/>
      <c r="B172" s="1465" t="str">
        <f>"Voordeel uit sparen en beleggen (= Belastbaar Rendement):"</f>
        <v>Voordeel uit sparen en beleggen (= Belastbaar Rendement):</v>
      </c>
      <c r="C172" s="408"/>
      <c r="D172" s="422">
        <f>Basisgegevens!Q213</f>
        <v>0</v>
      </c>
      <c r="E172" s="1891">
        <f>Basisgegevens!V213</f>
        <v>0</v>
      </c>
      <c r="F172" s="422">
        <f>Basisgegevens!V213</f>
        <v>0</v>
      </c>
      <c r="G172" s="1891">
        <f>Basisgegevens!R213</f>
        <v>0</v>
      </c>
      <c r="H172" s="422">
        <f>Basisgegevens!W213</f>
        <v>0</v>
      </c>
      <c r="I172" s="422">
        <f>Basisgegevens!W213</f>
        <v>0</v>
      </c>
      <c r="J172" s="1963" t="s">
        <v>980</v>
      </c>
      <c r="K172" s="147">
        <v>172</v>
      </c>
    </row>
    <row r="173" spans="1:11" outlineLevel="1" x14ac:dyDescent="0.25">
      <c r="A173" s="1286">
        <v>109</v>
      </c>
      <c r="B173" s="75" t="str">
        <f>CONCATENATE("Forfairtair rendement (a=",Basisgegevens!S210*100,"% / b=",Basisgegevens!S211*100,"% / c=",Basisgegevens!S212*100,"%)")</f>
        <v>Forfairtair rendement (a=1,44% / b=5,88% / c=2,62%)</v>
      </c>
      <c r="C173" s="178" t="s">
        <v>73</v>
      </c>
      <c r="D173" s="812">
        <f>IF(AL108GrondslagSenB_AP&lt;=0,0,Basisgegevens!Q213*(AL108GrondslagSenB_AP/D168))</f>
        <v>0</v>
      </c>
      <c r="E173" s="829">
        <f>IF(E171&lt;=0,0,Basisgegevens!V213*(E171/E168))</f>
        <v>0</v>
      </c>
      <c r="F173" s="812">
        <f>IF(F171&lt;=0,0,Basisgegevens!V213*(F171/F168))</f>
        <v>0</v>
      </c>
      <c r="G173" s="829">
        <f>IF(AL108GrondslagSenB_AG&lt;=0,0,Basisgegevens!R213*(AL108GrondslagSenB_AG/G168))</f>
        <v>0</v>
      </c>
      <c r="H173" s="812">
        <f>IF(H171&lt;=0,0,Basisgegevens!W213*(H171/H168))</f>
        <v>0</v>
      </c>
      <c r="I173" s="812">
        <f>IF(I171&lt;=0,0,Basisgegevens!W213*(I171/I168))</f>
        <v>0</v>
      </c>
      <c r="J173" s="1539"/>
      <c r="K173" s="59">
        <v>173</v>
      </c>
    </row>
    <row r="174" spans="1:11" ht="75.75" outlineLevel="1" thickBot="1" x14ac:dyDescent="0.3">
      <c r="A174" s="1290">
        <v>110</v>
      </c>
      <c r="B174" s="83" t="s">
        <v>34</v>
      </c>
      <c r="C174" s="183" t="s">
        <v>68</v>
      </c>
      <c r="D174" s="845">
        <v>0</v>
      </c>
      <c r="E174" s="828">
        <f>D174</f>
        <v>0</v>
      </c>
      <c r="F174" s="814">
        <f>D174</f>
        <v>0</v>
      </c>
      <c r="G174" s="2427">
        <v>0</v>
      </c>
      <c r="H174" s="279">
        <f>G174</f>
        <v>0</v>
      </c>
      <c r="I174" s="279">
        <f>G174</f>
        <v>0</v>
      </c>
      <c r="J174" s="1531" t="s">
        <v>940</v>
      </c>
      <c r="K174" s="152">
        <v>174</v>
      </c>
    </row>
    <row r="175" spans="1:11" ht="18" thickBot="1" x14ac:dyDescent="0.3">
      <c r="A175" s="1289">
        <v>111</v>
      </c>
      <c r="B175" s="164" t="s">
        <v>202</v>
      </c>
      <c r="C175" s="172"/>
      <c r="D175" s="1130">
        <f t="shared" ref="D175" si="8">D173-D174</f>
        <v>0</v>
      </c>
      <c r="E175" s="1129">
        <f>E173-E174</f>
        <v>0</v>
      </c>
      <c r="F175" s="1130">
        <f t="shared" ref="F175:I175" si="9">F173-F174</f>
        <v>0</v>
      </c>
      <c r="G175" s="1129">
        <f t="shared" si="9"/>
        <v>0</v>
      </c>
      <c r="H175" s="1130">
        <f t="shared" si="9"/>
        <v>0</v>
      </c>
      <c r="I175" s="1129">
        <f t="shared" si="9"/>
        <v>0</v>
      </c>
      <c r="J175" s="1546" t="s">
        <v>201</v>
      </c>
      <c r="K175" s="538">
        <v>175</v>
      </c>
    </row>
    <row r="176" spans="1:11" ht="16.5" thickBot="1" x14ac:dyDescent="0.3">
      <c r="A176" s="1668">
        <v>112</v>
      </c>
      <c r="B176" s="1669" t="str">
        <f>"Inkomstebelasting (vast tarief "&amp;BGTariefBox3*100&amp;"%) box III:"</f>
        <v>Inkomstebelasting (vast tarief 36%) box III:</v>
      </c>
      <c r="C176" s="1670"/>
      <c r="D176" s="1671">
        <f t="shared" ref="D176:I176" si="10">BGTariefBox3*D175</f>
        <v>0</v>
      </c>
      <c r="E176" s="1672">
        <f t="shared" si="10"/>
        <v>0</v>
      </c>
      <c r="F176" s="816">
        <f t="shared" si="10"/>
        <v>0</v>
      </c>
      <c r="G176" s="2428">
        <f t="shared" si="10"/>
        <v>0</v>
      </c>
      <c r="H176" s="1671">
        <f t="shared" si="10"/>
        <v>0</v>
      </c>
      <c r="I176" s="1671">
        <f t="shared" si="10"/>
        <v>0</v>
      </c>
      <c r="J176" s="1673"/>
      <c r="K176" s="2020">
        <v>176</v>
      </c>
    </row>
    <row r="177" spans="1:11" ht="15.75" thickBot="1" x14ac:dyDescent="0.3">
      <c r="A177" s="1656"/>
      <c r="B177" s="1679"/>
      <c r="C177" s="1658"/>
      <c r="D177" s="1659"/>
      <c r="E177" s="1659"/>
      <c r="F177" s="1659"/>
      <c r="G177" s="1659"/>
      <c r="H177" s="1659"/>
      <c r="I177" s="1659"/>
      <c r="J177" s="1715"/>
      <c r="K177" s="1932">
        <v>177</v>
      </c>
    </row>
    <row r="178" spans="1:11" ht="21.75" thickBot="1" x14ac:dyDescent="0.3">
      <c r="A178" s="1660"/>
      <c r="B178" s="1661" t="s">
        <v>276</v>
      </c>
      <c r="C178" s="1662"/>
      <c r="D178" s="821"/>
      <c r="E178" s="821"/>
      <c r="F178" s="821"/>
      <c r="G178" s="821"/>
      <c r="H178" s="821"/>
      <c r="I178" s="1663"/>
      <c r="J178" s="1674"/>
      <c r="K178" s="2021">
        <v>178</v>
      </c>
    </row>
    <row r="179" spans="1:11" outlineLevel="1" x14ac:dyDescent="0.25">
      <c r="A179" s="1286">
        <v>113</v>
      </c>
      <c r="B179" s="2510" t="s">
        <v>1003</v>
      </c>
      <c r="C179" s="2532" t="s">
        <v>73</v>
      </c>
      <c r="D179" s="1133">
        <f>AL59Arbeidsinkomen_AP+AL60Arbeidsinkomen_AP+D61+D78+AL81PeriodiekeUitk_AP+D145+AL103WerkVemInk_AP</f>
        <v>0</v>
      </c>
      <c r="E179" s="829">
        <f>AL59Arbeidsinkomen_AP+AL60Arbeidsinkomen_AP+D61+D78+E86+D145+AL103WerkVemInk_AP</f>
        <v>0</v>
      </c>
      <c r="F179" s="812">
        <f>E179</f>
        <v>0</v>
      </c>
      <c r="G179" s="812">
        <f>AL59Arbeidsinkomen_AG+AL60Arbeidsinkomen_AG+G61+G78+AL81PeriodiekeUitk_AG+G145+AL103WerkVemInk_AG</f>
        <v>0</v>
      </c>
      <c r="H179" s="812">
        <f>AL59Arbeidsinkomen_AG+AL60Arbeidsinkomen_AG+G61+G78+H86+G145+AL103WerkVemInk_AG</f>
        <v>0</v>
      </c>
      <c r="I179" s="812">
        <f>H179</f>
        <v>0</v>
      </c>
      <c r="J179" s="1548"/>
      <c r="K179" s="24">
        <v>179</v>
      </c>
    </row>
    <row r="180" spans="1:11" outlineLevel="1" x14ac:dyDescent="0.25">
      <c r="A180" s="1287" t="s">
        <v>692</v>
      </c>
      <c r="B180" s="88" t="s">
        <v>701</v>
      </c>
      <c r="C180" s="1177" t="s">
        <v>73</v>
      </c>
      <c r="D180" s="1170">
        <f>D100</f>
        <v>0</v>
      </c>
      <c r="E180" s="1163"/>
      <c r="F180" s="2430"/>
      <c r="G180" s="279">
        <f>G100</f>
        <v>0</v>
      </c>
      <c r="H180" s="2431"/>
      <c r="I180" s="2431"/>
      <c r="J180" s="1548"/>
      <c r="K180" s="58">
        <v>180</v>
      </c>
    </row>
    <row r="181" spans="1:11" ht="15.75" outlineLevel="1" thickBot="1" x14ac:dyDescent="0.3">
      <c r="A181" s="1292">
        <v>113</v>
      </c>
      <c r="B181" s="289" t="s">
        <v>528</v>
      </c>
      <c r="C181" s="1178" t="s">
        <v>73</v>
      </c>
      <c r="D181" s="1138">
        <f>D179-D180</f>
        <v>0</v>
      </c>
      <c r="E181" s="832">
        <f>E179</f>
        <v>0</v>
      </c>
      <c r="F181" s="820">
        <f>E181</f>
        <v>0</v>
      </c>
      <c r="G181" s="1518">
        <f>G179-G180</f>
        <v>0</v>
      </c>
      <c r="H181" s="1518">
        <f>H179</f>
        <v>0</v>
      </c>
      <c r="I181" s="1518">
        <f>H181</f>
        <v>0</v>
      </c>
      <c r="J181" s="1550" t="s">
        <v>1004</v>
      </c>
      <c r="K181" s="324">
        <v>181</v>
      </c>
    </row>
    <row r="182" spans="1:11" ht="15.75" thickBot="1" x14ac:dyDescent="0.3">
      <c r="A182" s="1650">
        <v>114</v>
      </c>
      <c r="B182" s="1778" t="s">
        <v>199</v>
      </c>
      <c r="C182" s="1779" t="s">
        <v>68</v>
      </c>
      <c r="D182" s="1653">
        <f>D134+D148+D176</f>
        <v>0</v>
      </c>
      <c r="E182" s="2429">
        <f>E134+E148+E176</f>
        <v>0</v>
      </c>
      <c r="F182" s="386">
        <f>F134+F148+F176</f>
        <v>0</v>
      </c>
      <c r="G182" s="1653">
        <f>G134+G148+G176</f>
        <v>0</v>
      </c>
      <c r="H182" s="1653">
        <f>H134+G148+G176</f>
        <v>0</v>
      </c>
      <c r="I182" s="1653">
        <f>I134+H148+H176</f>
        <v>0</v>
      </c>
      <c r="J182" s="1780" t="s">
        <v>200</v>
      </c>
      <c r="K182" s="2018">
        <v>182</v>
      </c>
    </row>
    <row r="183" spans="1:11" ht="15.75" outlineLevel="1" thickBot="1" x14ac:dyDescent="0.3">
      <c r="A183" s="1604">
        <v>115</v>
      </c>
      <c r="B183" s="1781" t="s">
        <v>35</v>
      </c>
      <c r="C183" s="1605"/>
      <c r="D183" s="1606"/>
      <c r="E183" s="1606"/>
      <c r="F183" s="1606"/>
      <c r="G183" s="1606"/>
      <c r="H183" s="1606"/>
      <c r="I183" s="1606"/>
      <c r="J183" s="1540"/>
      <c r="K183" s="1097">
        <v>183</v>
      </c>
    </row>
    <row r="184" spans="1:11" outlineLevel="1" x14ac:dyDescent="0.25">
      <c r="A184" s="1353"/>
      <c r="B184" s="1175" t="str">
        <f>"- Algemene heffingskorting over € "&amp;ROUND(Basisgegevens!Q96,0)&amp;" (AP) / € "&amp;ROUND(Basisgegevens!R96,0)&amp;" (AG)"</f>
        <v>- Algemene heffingskorting over € 0 (AP) / € 0 (AG)</v>
      </c>
      <c r="C184" s="175" t="s">
        <v>73</v>
      </c>
      <c r="D184" s="278">
        <f>IF(BGAOWLeeftijdBereikt_AP="Nee",Basisgegevens!Q101,Basisgegevens!Q110)</f>
        <v>0</v>
      </c>
      <c r="E184" s="917">
        <f>IF(BGAOWLeeftijdBereikt_AP="Nee",Basisgegevens!T101,Basisgegevens!T110)</f>
        <v>0</v>
      </c>
      <c r="F184" s="1786">
        <f>E184</f>
        <v>0</v>
      </c>
      <c r="G184" s="278">
        <f>IF(BGAOWLeeftijdBereikt_AG="Nee",Basisgegevens!R101,Basisgegevens!R110)</f>
        <v>0</v>
      </c>
      <c r="H184" s="278">
        <f>IF(BGAOWLeeftijdBereikt_AG="Nee",Basisgegevens!U101,Basisgegevens!U110)</f>
        <v>0</v>
      </c>
      <c r="I184" s="278">
        <f>H184</f>
        <v>0</v>
      </c>
      <c r="J184" s="1569"/>
      <c r="K184" s="24">
        <v>184</v>
      </c>
    </row>
    <row r="185" spans="1:11" outlineLevel="1" x14ac:dyDescent="0.25">
      <c r="A185" s="70"/>
      <c r="B185" s="88" t="str">
        <f>"- Arbeidskorting over € "&amp;ROUND(Basisgegevens!Q114,0)&amp;" (AP) / € "&amp;ROUND(Basisgegevens!R114,0)&amp;" (AG)"</f>
        <v>- Arbeidskorting over € 0 (AP) / € 0 (AG)</v>
      </c>
      <c r="C185" s="176" t="s">
        <v>73</v>
      </c>
      <c r="D185" s="279">
        <f>IF(BGAOWLeeftijdBereikt_AP="Nee",Basisgegevens!Q121,Basisgegevens!Q130)</f>
        <v>0</v>
      </c>
      <c r="E185" s="806">
        <f>D185</f>
        <v>0</v>
      </c>
      <c r="F185" s="823">
        <f>D185</f>
        <v>0</v>
      </c>
      <c r="G185" s="279">
        <f>IF(BGAOWLeeftijdBereikt_AG="Nee",Basisgegevens!R121,Basisgegevens!R130)</f>
        <v>0</v>
      </c>
      <c r="H185" s="806">
        <f>G185</f>
        <v>0</v>
      </c>
      <c r="I185" s="806">
        <f>H185</f>
        <v>0</v>
      </c>
      <c r="J185" s="1548"/>
      <c r="K185" s="58">
        <v>185</v>
      </c>
    </row>
    <row r="186" spans="1:11" outlineLevel="1" x14ac:dyDescent="0.25">
      <c r="A186" s="70"/>
      <c r="B186" s="88" t="s">
        <v>863</v>
      </c>
      <c r="C186" s="176" t="s">
        <v>73</v>
      </c>
      <c r="D186" s="279" t="str">
        <f>IF(OR(Basisgegevens!Q84="n.v.t",Basisgegevens!Q84="zie AOW-tabel"),Basisgegevens!Q92,Basisgegevens!Q84)</f>
        <v>n.v.t</v>
      </c>
      <c r="E186" s="806" t="str">
        <f>D186</f>
        <v>n.v.t</v>
      </c>
      <c r="F186" s="823" t="str">
        <f>D186</f>
        <v>n.v.t</v>
      </c>
      <c r="G186" s="279" t="str">
        <f>IF(OR(Basisgegevens!R84="n.v.t",Basisgegevens!R84="zie AOW-tabel"),Basisgegevens!R92,Basisgegevens!R84)</f>
        <v>n.v.t</v>
      </c>
      <c r="H186" s="279" t="str">
        <f>G186</f>
        <v>n.v.t</v>
      </c>
      <c r="I186" s="279" t="str">
        <f>G186</f>
        <v>n.v.t</v>
      </c>
      <c r="J186" s="1548"/>
      <c r="K186" s="58">
        <v>186</v>
      </c>
    </row>
    <row r="187" spans="1:11" outlineLevel="1" x14ac:dyDescent="0.25">
      <c r="A187" s="70"/>
      <c r="B187" s="88" t="s">
        <v>864</v>
      </c>
      <c r="C187" s="176" t="s">
        <v>73</v>
      </c>
      <c r="D187" s="279" t="str">
        <f>Basisgegevens!Q138</f>
        <v>n.v.t</v>
      </c>
      <c r="E187" s="806" t="str">
        <f>Basisgegevens!T138</f>
        <v>n.v.t</v>
      </c>
      <c r="F187" s="823" t="str">
        <f>E187</f>
        <v>n.v.t</v>
      </c>
      <c r="G187" s="279" t="str">
        <f>Basisgegevens!R138</f>
        <v>n.v.t</v>
      </c>
      <c r="H187" s="279" t="str">
        <f>Basisgegevens!U138</f>
        <v>n.v.t</v>
      </c>
      <c r="I187" s="279" t="str">
        <f>H187</f>
        <v>n.v.t</v>
      </c>
      <c r="J187" s="1548"/>
      <c r="K187" s="58">
        <v>187</v>
      </c>
    </row>
    <row r="188" spans="1:11" outlineLevel="1" x14ac:dyDescent="0.25">
      <c r="A188" s="70"/>
      <c r="B188" s="88" t="s">
        <v>865</v>
      </c>
      <c r="C188" s="176" t="s">
        <v>73</v>
      </c>
      <c r="D188" s="279" t="str">
        <f>Basisgegevens!N56</f>
        <v>n.v.t</v>
      </c>
      <c r="E188" s="806" t="str">
        <f>D188</f>
        <v>n.v.t</v>
      </c>
      <c r="F188" s="823" t="str">
        <f>D188</f>
        <v>n.v.t</v>
      </c>
      <c r="G188" s="279" t="str">
        <f>Basisgegevens!O56</f>
        <v>n.v.t</v>
      </c>
      <c r="H188" s="806" t="str">
        <f>G188</f>
        <v>n.v.t</v>
      </c>
      <c r="I188" s="806" t="str">
        <f>G188</f>
        <v>n.v.t</v>
      </c>
      <c r="J188" s="1548"/>
      <c r="K188" s="58">
        <v>188</v>
      </c>
    </row>
    <row r="189" spans="1:11" ht="30" customHeight="1" outlineLevel="1" thickBot="1" x14ac:dyDescent="0.3">
      <c r="A189" s="71"/>
      <c r="B189" s="918" t="s">
        <v>866</v>
      </c>
      <c r="C189" s="177" t="s">
        <v>73</v>
      </c>
      <c r="D189" s="842">
        <v>0</v>
      </c>
      <c r="E189" s="281">
        <f>D189</f>
        <v>0</v>
      </c>
      <c r="F189" s="919">
        <f>D189</f>
        <v>0</v>
      </c>
      <c r="G189" s="842">
        <v>0</v>
      </c>
      <c r="H189" s="281">
        <f>G189</f>
        <v>0</v>
      </c>
      <c r="I189" s="281">
        <f>G189</f>
        <v>0</v>
      </c>
      <c r="J189" s="1556" t="s">
        <v>603</v>
      </c>
      <c r="K189" s="26">
        <v>189</v>
      </c>
    </row>
    <row r="190" spans="1:11" ht="18" outlineLevel="1" thickBot="1" x14ac:dyDescent="0.3">
      <c r="A190" s="1192">
        <v>116</v>
      </c>
      <c r="B190" s="1782" t="s">
        <v>282</v>
      </c>
      <c r="C190" s="1493" t="s">
        <v>73</v>
      </c>
      <c r="D190" s="1783">
        <f t="shared" ref="D190:I190" si="11">SUM(D184:D189)</f>
        <v>0</v>
      </c>
      <c r="E190" s="1783">
        <f t="shared" si="11"/>
        <v>0</v>
      </c>
      <c r="F190" s="1784">
        <f t="shared" si="11"/>
        <v>0</v>
      </c>
      <c r="G190" s="1783">
        <f t="shared" si="11"/>
        <v>0</v>
      </c>
      <c r="H190" s="1783">
        <f t="shared" si="11"/>
        <v>0</v>
      </c>
      <c r="I190" s="1783">
        <f t="shared" si="11"/>
        <v>0</v>
      </c>
      <c r="J190" s="1785" t="s">
        <v>207</v>
      </c>
      <c r="K190" s="298">
        <v>190</v>
      </c>
    </row>
    <row r="191" spans="1:11" ht="15.75" thickBot="1" x14ac:dyDescent="0.3">
      <c r="A191" s="1303">
        <v>117</v>
      </c>
      <c r="B191" s="288" t="s">
        <v>359</v>
      </c>
      <c r="C191" s="190" t="s">
        <v>68</v>
      </c>
      <c r="D191" s="386">
        <f t="shared" ref="D191:I191" si="12">IF(OR(D182&lt;=0,D182-D190&lt;0.01),0,D182-D190)</f>
        <v>0</v>
      </c>
      <c r="E191" s="386">
        <f t="shared" si="12"/>
        <v>0</v>
      </c>
      <c r="F191" s="833">
        <f t="shared" si="12"/>
        <v>0</v>
      </c>
      <c r="G191" s="386">
        <f t="shared" si="12"/>
        <v>0</v>
      </c>
      <c r="H191" s="386">
        <f t="shared" si="12"/>
        <v>0</v>
      </c>
      <c r="I191" s="386">
        <f t="shared" si="12"/>
        <v>0</v>
      </c>
      <c r="J191" s="1551" t="s">
        <v>208</v>
      </c>
      <c r="K191" s="536">
        <v>191</v>
      </c>
    </row>
    <row r="192" spans="1:11" ht="16.5" thickBot="1" x14ac:dyDescent="0.3">
      <c r="A192" s="1305"/>
      <c r="B192" s="1185" t="s">
        <v>278</v>
      </c>
      <c r="C192" s="621"/>
      <c r="D192" s="811">
        <f t="shared" ref="D192:I192" si="13">D181-D191</f>
        <v>0</v>
      </c>
      <c r="E192" s="811">
        <f t="shared" si="13"/>
        <v>0</v>
      </c>
      <c r="F192" s="2411">
        <f t="shared" si="13"/>
        <v>0</v>
      </c>
      <c r="G192" s="811">
        <f t="shared" si="13"/>
        <v>0</v>
      </c>
      <c r="H192" s="811">
        <f t="shared" si="13"/>
        <v>0</v>
      </c>
      <c r="I192" s="811">
        <f t="shared" si="13"/>
        <v>0</v>
      </c>
      <c r="J192" s="1525" t="s">
        <v>360</v>
      </c>
      <c r="K192" s="2001">
        <v>192</v>
      </c>
    </row>
    <row r="193" spans="1:11" ht="15.75" thickBot="1" x14ac:dyDescent="0.3">
      <c r="A193" s="1647"/>
      <c r="B193" s="1675"/>
      <c r="C193" s="1648"/>
      <c r="D193" s="1649"/>
      <c r="E193" s="1649"/>
      <c r="F193" s="1649"/>
      <c r="G193" s="1649"/>
      <c r="H193" s="1649"/>
      <c r="I193" s="1649"/>
      <c r="J193" s="1715"/>
      <c r="K193" s="1932">
        <v>193</v>
      </c>
    </row>
    <row r="194" spans="1:11" ht="19.5" thickBot="1" x14ac:dyDescent="0.3">
      <c r="A194" s="1628" t="s">
        <v>636</v>
      </c>
      <c r="B194" s="1629" t="s">
        <v>675</v>
      </c>
      <c r="C194" s="1630"/>
      <c r="D194" s="1631"/>
      <c r="E194" s="1631"/>
      <c r="F194" s="1631"/>
      <c r="G194" s="1631"/>
      <c r="H194" s="1631"/>
      <c r="I194" s="1631"/>
      <c r="J194" s="1996"/>
      <c r="K194" s="1882">
        <v>194</v>
      </c>
    </row>
    <row r="195" spans="1:11" ht="30.75" outlineLevel="1" thickBot="1" x14ac:dyDescent="0.3">
      <c r="A195" s="1990" t="str">
        <f>A21</f>
        <v>41-50</v>
      </c>
      <c r="B195" s="1976" t="str">
        <f>SUBSTITUTE(B21&amp;" incl. WAO, excl. DGA inkomen 41-48",":","")</f>
        <v>Bruto jaar inkomen uit loon incl. WAO, excl. DGA inkomen 41-48</v>
      </c>
      <c r="C195" s="1470" t="s">
        <v>73</v>
      </c>
      <c r="D195" s="812">
        <f>IF(AL41DGA_AP="Nee",AL54LoonvoorPremies_AP-AL50BrutoPensioen_AP-AL42AOWuitkering_AP-AL56PremieAOV_AP,0)</f>
        <v>0</v>
      </c>
      <c r="E195" s="1584"/>
      <c r="F195" s="1584"/>
      <c r="G195" s="812">
        <f>IF(AL41DGA_AG="Nee",AL54LoonvoorPremies_AG-AL50BrutoPensioen_AG-AL42AOWUitkering_AG-AL56PremieAOV_AG,0)</f>
        <v>0</v>
      </c>
      <c r="H195" s="1584"/>
      <c r="I195" s="1584"/>
      <c r="J195" s="1539" t="s">
        <v>786</v>
      </c>
      <c r="K195" s="1991">
        <v>195</v>
      </c>
    </row>
    <row r="196" spans="1:11" ht="15.75" outlineLevel="1" thickBot="1" x14ac:dyDescent="0.3">
      <c r="A196" s="1979">
        <f>A50</f>
        <v>60</v>
      </c>
      <c r="B196" s="1977" t="str">
        <f>B50</f>
        <v>Bruto loon volgens jaaropgaaf werkgever(s)</v>
      </c>
      <c r="C196" s="1177" t="s">
        <v>73</v>
      </c>
      <c r="D196" s="814">
        <f>AL60Arbeidsinkomen_AP</f>
        <v>0</v>
      </c>
      <c r="E196" s="1180" t="s">
        <v>686</v>
      </c>
      <c r="F196" s="1584"/>
      <c r="G196" s="814">
        <f>AL60Arbeidsinkomen_AG</f>
        <v>0</v>
      </c>
      <c r="H196" s="1180" t="s">
        <v>686</v>
      </c>
      <c r="I196" s="1584"/>
      <c r="J196" s="1531"/>
      <c r="K196" s="1992">
        <v>196</v>
      </c>
    </row>
    <row r="197" spans="1:11" ht="15.75" outlineLevel="1" thickBot="1" x14ac:dyDescent="0.3">
      <c r="A197" s="1979" t="s">
        <v>850</v>
      </c>
      <c r="B197" s="1978" t="s">
        <v>941</v>
      </c>
      <c r="C197" s="1916" t="s">
        <v>73</v>
      </c>
      <c r="D197" s="814">
        <f>E197/BGZVWPremie</f>
        <v>0</v>
      </c>
      <c r="E197" s="814">
        <f>IF(Basisgegevens!D115="zie jaarloon (60)",0,Basisgegevens!D115)</f>
        <v>0</v>
      </c>
      <c r="F197" s="1584"/>
      <c r="G197" s="814">
        <f>H197/BGZVWPremie</f>
        <v>0</v>
      </c>
      <c r="H197" s="814">
        <f>IF(Basisgegevens!F115="zie jaarloon (60)",0,Basisgegevens!F115)</f>
        <v>0</v>
      </c>
      <c r="I197" s="1584"/>
      <c r="J197" s="1531"/>
      <c r="K197" s="1992">
        <v>197</v>
      </c>
    </row>
    <row r="198" spans="1:11" ht="15.75" outlineLevel="1" thickBot="1" x14ac:dyDescent="0.3">
      <c r="A198" s="1583"/>
      <c r="B198" s="1187" t="s">
        <v>681</v>
      </c>
      <c r="C198" s="1179"/>
      <c r="D198" s="1180">
        <f>SUM(D195:D197)</f>
        <v>0</v>
      </c>
      <c r="E198" s="1180">
        <f>SUM(E197:E197)</f>
        <v>0</v>
      </c>
      <c r="F198" s="1584"/>
      <c r="G198" s="1180">
        <f>SUM(G195:G197)</f>
        <v>0</v>
      </c>
      <c r="H198" s="1180">
        <f>SUM(H197:H197)</f>
        <v>0</v>
      </c>
      <c r="I198" s="1584"/>
      <c r="J198" s="1896"/>
      <c r="K198" s="1991">
        <v>198</v>
      </c>
    </row>
    <row r="199" spans="1:11" ht="15.75" outlineLevel="1" thickBot="1" x14ac:dyDescent="0.3">
      <c r="A199" s="1306"/>
      <c r="B199" s="1183" t="str">
        <f>Basisgegevens!B222</f>
        <v>Maximumbijdrage-inkomen ZVW-premie in 2025</v>
      </c>
      <c r="C199" s="1742" t="s">
        <v>68</v>
      </c>
      <c r="D199" s="820">
        <f>BGZVWJaarInkomen</f>
        <v>75864</v>
      </c>
      <c r="E199" s="1184"/>
      <c r="F199" s="1584"/>
      <c r="G199" s="820">
        <f>BGZVWJaarInkomen</f>
        <v>75864</v>
      </c>
      <c r="H199" s="1184"/>
      <c r="I199" s="1584"/>
      <c r="K199" s="1992">
        <v>199</v>
      </c>
    </row>
    <row r="200" spans="1:11" ht="15.75" outlineLevel="1" thickBot="1" x14ac:dyDescent="0.3">
      <c r="A200" s="1307"/>
      <c r="B200" s="1187" t="s">
        <v>687</v>
      </c>
      <c r="C200" s="1179"/>
      <c r="D200" s="1180">
        <f>IF(BGZVWJaarInkomen-D198&lt;=0,0,BGZVWJaarInkomen-D198)</f>
        <v>75864</v>
      </c>
      <c r="E200" s="1182"/>
      <c r="F200" s="1584"/>
      <c r="G200" s="1180">
        <f>IF(BGZVWJaarInkomen-G198&lt;=0,0,BGZVWJaarInkomen-G198)</f>
        <v>75864</v>
      </c>
      <c r="H200" s="1182"/>
      <c r="I200" s="1584"/>
      <c r="J200" s="1896"/>
      <c r="K200" s="1992">
        <v>200</v>
      </c>
    </row>
    <row r="201" spans="1:11" ht="15.75" outlineLevel="1" thickBot="1" x14ac:dyDescent="0.3">
      <c r="A201" s="1582"/>
      <c r="B201" s="1183"/>
      <c r="C201" s="1493"/>
      <c r="D201" s="1190"/>
      <c r="E201" s="1917"/>
      <c r="F201" s="1917"/>
      <c r="G201" s="1191"/>
      <c r="H201" s="1917"/>
      <c r="I201" s="1917"/>
      <c r="K201" s="1993">
        <v>201</v>
      </c>
    </row>
    <row r="202" spans="1:11" ht="16.5" outlineLevel="1" thickBot="1" x14ac:dyDescent="0.3">
      <c r="A202" s="2309"/>
      <c r="B202" s="2081" t="s">
        <v>981</v>
      </c>
      <c r="C202" s="1211"/>
      <c r="D202" s="1180" t="s">
        <v>682</v>
      </c>
      <c r="E202" s="1180" t="s">
        <v>686</v>
      </c>
      <c r="F202" s="1180"/>
      <c r="G202" s="1180" t="s">
        <v>682</v>
      </c>
      <c r="H202" s="1180" t="s">
        <v>686</v>
      </c>
      <c r="I202" s="1180"/>
      <c r="J202" s="1510"/>
      <c r="K202" s="1994">
        <v>202</v>
      </c>
    </row>
    <row r="203" spans="1:11" ht="30" outlineLevel="1" x14ac:dyDescent="0.25">
      <c r="A203" s="1953" t="str">
        <f>A11</f>
        <v>44/47/48</v>
      </c>
      <c r="B203" s="1954" t="str">
        <f>B6&amp;" als DGA? "&amp;AL41DGA_AP&amp;" (AP) / "&amp;AL41DGA_AG&amp;" (AG)"</f>
        <v>Bruto arbeidsinkomen uit dienstbetrekking (1 en 2) als DGA? Nee (AP) / Nee (AG)</v>
      </c>
      <c r="C203" s="1176" t="s">
        <v>73</v>
      </c>
      <c r="D203" s="812">
        <f>IF(AL41DGA_AP="Ja",AL54LoonvoorPremies_AP-AL50BrutoPensioen_AP-AL42AOWuitkering_AP-AL56PremieAOV_AP,0)</f>
        <v>0</v>
      </c>
      <c r="E203" s="812">
        <f>IF(OR(ALZVWRestbedrag_AP&lt;=0,D$203=0),0,IF(ALZVWRestbedrag_AP-D$203&lt;=0,ALZVWRestbedrag_AP*BGZVWPremie,IF(D$203&gt;BGZVWJaarInkomen,BGZVWJaarInkomen,D$203)*BGZVWPremie))</f>
        <v>0</v>
      </c>
      <c r="F203" s="1584"/>
      <c r="G203" s="812">
        <f>IF(AL41DGA_AG="Ja",AL54LoonvoorPremies_AG-AL50BrutoPensioen_AG-AL42AOWUitkering_AG-AL56PremieAOV_AG,0)</f>
        <v>0</v>
      </c>
      <c r="H203" s="812">
        <f>IF(OR(ALZVWRestbedrag_AG&lt;=0,G$203=0),0,IF(ALZVWRestbedrag_AG-G$203&lt;=0,ALZVWRestbedrag_AG*BGZVWPremie,IF(G$203&gt;BGZVWJaarInkomen,BGZVWJaarInkomen,G$203)*BGZVWPremie))</f>
        <v>0</v>
      </c>
      <c r="I203" s="1584"/>
      <c r="J203" s="1539" t="s">
        <v>797</v>
      </c>
      <c r="K203" s="2029">
        <v>203</v>
      </c>
    </row>
    <row r="204" spans="1:11" outlineLevel="1" x14ac:dyDescent="0.25">
      <c r="A204" s="1955">
        <f>A15</f>
        <v>42</v>
      </c>
      <c r="B204" s="1956" t="str">
        <f>B15</f>
        <v>Bruto AOW-uitkering (geen premies werknemersverzekeringen)</v>
      </c>
      <c r="C204" s="1177" t="s">
        <v>73</v>
      </c>
      <c r="D204" s="279">
        <f>AL42AOWuitkering_AP</f>
        <v>0</v>
      </c>
      <c r="E204" s="279">
        <f>IF(OR(ALZVWRestbedrag_AP-D$203&lt;=0,D204&lt;0),0,IF(ALZVWRestbedrag_AP-D$203-D$204&lt;=0,(ALZVWRestbedrag_AP-D$203)*BGZVWPremie,IF(D204&gt;BGZVWJaarInkomen,BGZVWJaarInkomen,D204)*BGZVWPremie))</f>
        <v>0</v>
      </c>
      <c r="F204" s="1584"/>
      <c r="G204" s="279">
        <f>AL42AOWUitkering_AG</f>
        <v>0</v>
      </c>
      <c r="H204" s="279">
        <f>IF(OR(ALZVWRestbedrag_AG-G$203&lt;=0,G204&lt;0),0,IF(ALZVWRestbedrag_AG-G$203-G$204&lt;=0,(ALZVWRestbedrag_AG-G$203)*BGZVWPremie,IF(G204&gt;BGZVWJaarInkomen,BGZVWJaarInkomen,G204)*BGZVWPremie))</f>
        <v>0</v>
      </c>
      <c r="I204" s="1584"/>
      <c r="J204" s="1530" t="s">
        <v>1058</v>
      </c>
      <c r="K204" s="2030">
        <v>204</v>
      </c>
    </row>
    <row r="205" spans="1:11" outlineLevel="1" x14ac:dyDescent="0.25">
      <c r="A205" s="1955">
        <f>A20</f>
        <v>50</v>
      </c>
      <c r="B205" s="1956" t="str">
        <f>B20</f>
        <v>Bruto pensioen (vakantietoeslag niet altijd inbegrepen)</v>
      </c>
      <c r="C205" s="1177" t="s">
        <v>73</v>
      </c>
      <c r="D205" s="279">
        <f>AL50BrutoPensioen_AP</f>
        <v>0</v>
      </c>
      <c r="E205" s="279">
        <f>IF(OR(ALZVWRestbedrag_AP-D$203-D$204&lt;=0,D205&lt;0),0,IF(ALZVWRestbedrag_AP-D$203-D$204-D$205&lt;=0,(ALZVWRestbedrag_AP-D$203-D$204)*BGZVWPremie,IF(D205&gt;BGZVWJaarInkomen,BGZVWJaarInkomen,D205)*BGZVWPremie))</f>
        <v>0</v>
      </c>
      <c r="F205" s="1584"/>
      <c r="G205" s="279">
        <f>AL50BrutoPensioen_AG</f>
        <v>0</v>
      </c>
      <c r="H205" s="279">
        <f>IF(OR(ALZVWRestbedrag_AG-G$203-G$204&lt;=0,G205&lt;0),0,IF(ALZVWRestbedrag_AG-G$203-G$204-G$205&lt;=0,(ALZVWRestbedrag_AG-G$203-G$204)*BGZVWPremie,IF(G205&gt;BGZVWJaarInkomen,BGZVWJaarInkomen,G205)*BGZVWPremie))</f>
        <v>0</v>
      </c>
      <c r="I205" s="1584"/>
      <c r="J205" s="1530" t="s">
        <v>1059</v>
      </c>
      <c r="K205" s="2030">
        <v>205</v>
      </c>
    </row>
    <row r="206" spans="1:11" outlineLevel="1" x14ac:dyDescent="0.25">
      <c r="A206" s="1955">
        <f>A75</f>
        <v>75</v>
      </c>
      <c r="B206" s="1957" t="str">
        <f>SUBSTITUTE(B75,":","")</f>
        <v>Belastbare winst uit onderneming</v>
      </c>
      <c r="C206" s="1177" t="s">
        <v>73</v>
      </c>
      <c r="D206" s="279">
        <f>AL75BelastbareWinst_AP</f>
        <v>0</v>
      </c>
      <c r="E206" s="279">
        <f>IF(OR(ALZVWRestbedrag_AP-D$203-D$204-D$205&lt;=0,D206&lt;0),0,IF(ALZVWRestbedrag_AP-D$203-D$204-D$205-D$206&lt;=0,(ALZVWRestbedrag_AP-D$203-D$204-D$205)*BGZVWPremie,IF(D206&gt;BGZVWJaarInkomen,BGZVWJaarInkomen,D206)*BGZVWPremie))</f>
        <v>0</v>
      </c>
      <c r="F206" s="1584"/>
      <c r="G206" s="279">
        <f>AL75BelastbareWinst_AG</f>
        <v>0</v>
      </c>
      <c r="H206" s="279">
        <f>IF(OR(ALZVWRestbedrag_AG-G$203-G$204-G$205&lt;=0,G206&lt;0),0,IF(ALZVWRestbedrag_AG-G$203-G$204-G$205-G$206&lt;=0,(ALZVWRestbedrag_AG-G$203-G$204-G$205)*BGZVWPremie,IF(G206&gt;BGZVWJaarInkomen,BGZVWJaarInkomen,G206)*BGZVWPremie))</f>
        <v>0</v>
      </c>
      <c r="I206" s="1584"/>
      <c r="J206" s="1530" t="s">
        <v>854</v>
      </c>
      <c r="K206" s="2030">
        <v>206</v>
      </c>
    </row>
    <row r="207" spans="1:11" outlineLevel="1" x14ac:dyDescent="0.25">
      <c r="A207" s="1955">
        <f>A80</f>
        <v>78</v>
      </c>
      <c r="B207" s="1956" t="str">
        <f>SUBSTITUTE(B80,":","")</f>
        <v>Belastbaar resultaat uit overige werkzaamheden</v>
      </c>
      <c r="C207" s="1177" t="s">
        <v>73</v>
      </c>
      <c r="D207" s="279">
        <f>AL78OverigeWerkz_AP</f>
        <v>0</v>
      </c>
      <c r="E207" s="279">
        <f>IF(OR(ALZVWRestbedrag_AP-D$203-D$204-D$205-D$206&lt;=0,D207&lt;0),0,IF(ALZVWRestbedrag_AP-D$203-D$204-D$205-D$206-D$207&lt;=0,(ALZVWRestbedrag_AP-D$203-D$204-D$205-D$206)*BGZVWPremie,IF(D207&gt;BGZVWJaarInkomen,BGZVWJaarInkomen,D207)*BGZVWPremie))</f>
        <v>0</v>
      </c>
      <c r="F207" s="1584"/>
      <c r="G207" s="279">
        <f>AL78OverigeWerkz_AG</f>
        <v>0</v>
      </c>
      <c r="H207" s="279">
        <f>IF(OR(ALZVWRestbedrag_AG-G$203-G$204-G$205-G$206&lt;=0,G207&lt;0),0,IF(ALZVWRestbedrag_AG-G$203-G$204-G$205-G$206-G$207&lt;=0,(ALZVWRestbedrag_AG-G$203-G$204-G$205-G$206)*BGZVWPremie,IF(G207&gt;BGZVWJaarInkomen,BGZVWJaarInkomen,G207)*BGZVWPremie))</f>
        <v>0</v>
      </c>
      <c r="I207" s="1584"/>
      <c r="J207" s="1530" t="s">
        <v>855</v>
      </c>
      <c r="K207" s="2030">
        <v>207</v>
      </c>
    </row>
    <row r="208" spans="1:11" outlineLevel="1" x14ac:dyDescent="0.25">
      <c r="A208" s="1955" t="s">
        <v>652</v>
      </c>
      <c r="B208" s="1956" t="s">
        <v>848</v>
      </c>
      <c r="C208" s="1177" t="s">
        <v>73</v>
      </c>
      <c r="D208" s="279">
        <f>AL79aVEWRentePA_AP</f>
        <v>0</v>
      </c>
      <c r="E208" s="279">
        <f>IF(OR(ALZVWRestbedrag_AP-D$203-D$204-D$205-D$206-D$207&lt;=0,D208&lt;0),0,IF(ALZVWRestbedrag_AP-D$203-D$204-D$205-D$206-D$207-D$208&lt;=0,(ALZVWRestbedrag_AP-D$203-D$204-D$205-D$206-D$207)*BGZVWPremie,IF(D208&gt;BGZVWJaarInkomen,BGZVWJaarInkomen,D208)*BGZVWPremie))</f>
        <v>0</v>
      </c>
      <c r="F208" s="1584"/>
      <c r="G208" s="279">
        <f>AL79aVEWRentePA_AG</f>
        <v>0</v>
      </c>
      <c r="H208" s="279">
        <f>IF(OR(ALZVWRestbedrag_AG-G$203-G$204-G$205-G$206-G$207&lt;=0,G208&lt;0),0,IF(ALZVWRestbedrag_AG-G$203-G$204-G$205-G$206-G$207-G$208&lt;=0,(ALZVWRestbedrag_AG-G$203-G$204-G$205-G$206-G$207)*BGZVWPremie,IF(G208&gt;BGZVWJaarInkomen,BGZVWJaarInkomen,G208)*BGZVWPremie))</f>
        <v>0</v>
      </c>
      <c r="I208" s="1584"/>
      <c r="J208" s="1530" t="s">
        <v>856</v>
      </c>
      <c r="K208" s="2030">
        <v>208</v>
      </c>
    </row>
    <row r="209" spans="1:11" outlineLevel="1" x14ac:dyDescent="0.25">
      <c r="A209" s="1955">
        <f>A86</f>
        <v>81</v>
      </c>
      <c r="B209" s="1957" t="str">
        <f>SUBSTITUTE(B86,":","")</f>
        <v>Belastbare periodieke uitkeringen en verstrekkingen</v>
      </c>
      <c r="C209" s="1177" t="s">
        <v>73</v>
      </c>
      <c r="D209" s="279">
        <f>AL81PeriodiekeUitk_AP</f>
        <v>0</v>
      </c>
      <c r="E209" s="279">
        <f>IF(OR(ALZVWRestbedrag_AP-D$203-D$204-D$205-D$206-D$207-D$208&lt;=0,D209&lt;0),0,IF(ALZVWRestbedrag_AP-D$203-D$204-D$205-D$206-D$207-D$208-D$209&lt;=0,(ALZVWRestbedrag_AP-D$203-D$204-D$205-D$206-D$207-D$208)*BGZVWPremie,IF(D209&gt;BGZVWJaarInkomen,BGZVWJaarInkomen,D209)*BGZVWPremie))</f>
        <v>0</v>
      </c>
      <c r="F209" s="1584"/>
      <c r="G209" s="279">
        <f>AL81PeriodiekeUitk_AG</f>
        <v>0</v>
      </c>
      <c r="H209" s="279">
        <f>IF(OR(ALZVWRestbedrag_AG-G$203-G$204-G$205-G$206-G$207-G$208&lt;=0,G209&lt;0),0,IF(ALZVWRestbedrag_AG-G$203-G$204-G$205-G$206-G$207-G$208-G$209&lt;=0,(ALZVWRestbedrag_AG-G$203-G$204-G$205-G$206-G$207-G$208)*BGZVWPremie,IF(G209&gt;BGZVWJaarInkomen,BGZVWJaarInkomen,G209)*BGZVWPremie))</f>
        <v>0</v>
      </c>
      <c r="I209" s="1584"/>
      <c r="J209" s="1530" t="s">
        <v>857</v>
      </c>
      <c r="K209" s="2030">
        <v>209</v>
      </c>
    </row>
    <row r="210" spans="1:11" outlineLevel="1" x14ac:dyDescent="0.25">
      <c r="A210" s="1958" t="s">
        <v>636</v>
      </c>
      <c r="B210" s="1957" t="str">
        <f>"OEW: "&amp;Basisgegevens!M188</f>
        <v>OEW: Eigen Woning Forfait bijdrage ZVW over EWF berekenen over</v>
      </c>
      <c r="C210" s="1177" t="s">
        <v>73</v>
      </c>
      <c r="D210" s="279">
        <f>IF(BGOEWRekenModule="Ja",BGOEW117aEWFZVW_AP,0)</f>
        <v>0</v>
      </c>
      <c r="E210" s="279">
        <f>IF(OR(ALZVWRestbedrag_AP-D$203-D$204-D$205-D$206-D$207-D$208-D$209&lt;=0,D210&lt;0),0,IF(ALZVWRestbedrag_AP-D$203-D$204-D$205-D$206-D$207-D$208-D$209-D$210&lt;=0,(ALZVWRestbedrag_AP-D$203-D$204-D$205-D$206-D$207-D$208-D$209)*BGZVWPremie,IF(D210&gt;BGZVWJaarInkomen,BGZVWJaarInkomen,D210)*BGZVWPremie))</f>
        <v>0</v>
      </c>
      <c r="F210" s="1584"/>
      <c r="G210" s="279">
        <f>IF(BGOEWRekenModule="Ja",BGOEW117aEWFZVW_AG,0)</f>
        <v>0</v>
      </c>
      <c r="H210" s="279">
        <f>IF(OR(ALZVWRestbedrag_AG-G$203-G$204-G$205-G$206-G$207-G$208-G$209&lt;=0,G210&lt;0),0,IF(ALZVWRestbedrag_AG-G$203-G$204-G$205-G$206-G$207-G$208-G$209-G$210&lt;=0,(ALZVWRestbedrag_AG-G$203-G$204-G$205-G$206-G$207-G$208-G$209)*BGZVWPremie,IF(G210&gt;BGZVWJaarInkomen,BGZVWJaarInkomen,G210)*BGZVWPremie))</f>
        <v>0</v>
      </c>
      <c r="I210" s="1584"/>
      <c r="J210" s="1530" t="s">
        <v>858</v>
      </c>
      <c r="K210" s="2031">
        <v>210</v>
      </c>
    </row>
    <row r="211" spans="1:11" ht="15.75" outlineLevel="1" thickBot="1" x14ac:dyDescent="0.3">
      <c r="A211" s="1959" t="str">
        <f>Basisgegevens!L192</f>
        <v>117a</v>
      </c>
      <c r="B211" s="1960" t="str">
        <f>"OEW: "&amp;Basisgegevens!M192</f>
        <v>OEW: Rente bijdrage ZVW over de rente berekenen over</v>
      </c>
      <c r="C211" s="1235" t="s">
        <v>73</v>
      </c>
      <c r="D211" s="281">
        <f>IF(BGOEWRekenModule="Ja",BGOEW117aRenteZVW_AP,0)</f>
        <v>0</v>
      </c>
      <c r="E211" s="279">
        <f>IF(OR(ALZVWRestbedrag_AP-D$203-D$204-D$205-D$206-D$207-D$208-D$209-D$210&lt;=0,D211&lt;0),0,IF(ALZVWRestbedrag_AP-D$203-D$204-D$205-D$206-D$207-D$208-D$209-D$210-D$211&lt;=0,(ALZVWRestbedrag_AP-D$203-D$204-D$205-D$206-D$207-D$208-D$209-D$210)*BGZVWPremie,IF(D211&gt;BGZVWJaarInkomen,BGZVWJaarInkomen,D211)*BGZVWPremie))</f>
        <v>0</v>
      </c>
      <c r="F211" s="1584"/>
      <c r="G211" s="281">
        <f>IF(BGOEWRekenModule="Ja",BGOEW117aRenteZVW_AG,0)</f>
        <v>0</v>
      </c>
      <c r="H211" s="279">
        <f>IF(OR(ALZVWRestbedrag_AG-G$203-G$204-G$205-G$206-G$207-G$208-G$209-G$210&lt;=0,G211&lt;0),0,IF(ALZVWRestbedrag_AG-G$203-G$204-G$205-G$206-G$207-G$208-G$209-G$210-G$211&lt;=0,(ALZVWRestbedrag_AG-G$203-G$204-G$205-G$206-G$207-G$208-G$209-G$210)*BGZVWPremie,IF(G211&gt;BGZVWJaarInkomen,BGZVWJaarInkomen,G211)*BGZVWPremie))</f>
        <v>0</v>
      </c>
      <c r="I211" s="1584"/>
      <c r="J211" s="1490" t="s">
        <v>858</v>
      </c>
      <c r="K211" s="2032">
        <v>211</v>
      </c>
    </row>
    <row r="212" spans="1:11" ht="15.75" thickBot="1" x14ac:dyDescent="0.3">
      <c r="A212" s="1192"/>
      <c r="B212" s="1741" t="s">
        <v>982</v>
      </c>
      <c r="C212" s="1742" t="s">
        <v>68</v>
      </c>
      <c r="D212" s="1743">
        <f>IF(AL75BelastbareWinst_AP&lt;0,IF(SUM(D203:D203)+SUM(D207:D211)&gt;ALZVWRestbedrag_AP,ALZVWRestbedrag_AP,SUM(D203:D203)+SUM(D207:D211)),IF(SUM(D203:D211)&gt;ALZVWRestbedrag_AP,ALZVWRestbedrag_AP,SUM(D203:D211)))</f>
        <v>0</v>
      </c>
      <c r="E212" s="1743">
        <f>SUM(E203:E211)</f>
        <v>0</v>
      </c>
      <c r="F212" s="1584"/>
      <c r="G212" s="1743">
        <f>IF(AL75BelastbareWinst_AP&lt;0,IF(SUM(G203:G203)+SUM(G207:G211)&gt;ALZVWRestbedrag_AP,ALZVWRestbedrag_AP,SUM(G203:G203)+SUM(G207:G211)),IF(SUM(G203:G211)&gt;ALZVWRestbedrag_AP,ALZVWRestbedrag_AP,SUM(G203:G211)))</f>
        <v>0</v>
      </c>
      <c r="H212" s="1743">
        <f>SUM(H203:H211)</f>
        <v>0</v>
      </c>
      <c r="I212" s="1584"/>
      <c r="J212" s="1585"/>
      <c r="K212" s="298">
        <v>212</v>
      </c>
    </row>
    <row r="213" spans="1:11" ht="30.75" thickBot="1" x14ac:dyDescent="0.3">
      <c r="A213" s="1744"/>
      <c r="B213" s="1187" t="s">
        <v>685</v>
      </c>
      <c r="C213" s="1188"/>
      <c r="D213" s="1180">
        <f>IF(ALZVWRestbedrag_AP-D212&lt;=0,0,ALZVWRestbedrag_AP-D212)</f>
        <v>75864</v>
      </c>
      <c r="E213" s="1182"/>
      <c r="F213" s="1182"/>
      <c r="G213" s="1745">
        <f>IF(ALZVWRestbedrag_AG-G212&lt;=0,0,ALZVWRestbedrag_AG-G212)</f>
        <v>75864</v>
      </c>
      <c r="H213" s="1182"/>
      <c r="I213" s="1182"/>
      <c r="J213" s="1549" t="s">
        <v>684</v>
      </c>
      <c r="K213" s="1994">
        <v>213</v>
      </c>
    </row>
    <row r="214" spans="1:11" ht="15.75" outlineLevel="1" thickBot="1" x14ac:dyDescent="0.3">
      <c r="A214" s="1656"/>
      <c r="B214" s="1679"/>
      <c r="C214" s="1658"/>
      <c r="D214" s="1659"/>
      <c r="E214" s="1659"/>
      <c r="F214" s="1659"/>
      <c r="G214" s="1659"/>
      <c r="H214" s="1659"/>
      <c r="I214" s="1659"/>
      <c r="J214" s="1716"/>
      <c r="K214" s="1995">
        <v>214</v>
      </c>
    </row>
    <row r="215" spans="1:11" ht="16.5" outlineLevel="1" thickBot="1" x14ac:dyDescent="0.3">
      <c r="A215" s="1628">
        <v>118</v>
      </c>
      <c r="B215" s="1634" t="s">
        <v>843</v>
      </c>
      <c r="C215" s="1680"/>
      <c r="D215" s="1631"/>
      <c r="E215" s="1631"/>
      <c r="F215" s="1631"/>
      <c r="G215" s="1631"/>
      <c r="H215" s="1631"/>
      <c r="I215" s="1631"/>
      <c r="J215" s="1676"/>
      <c r="K215" s="1882">
        <v>215</v>
      </c>
    </row>
    <row r="216" spans="1:11" ht="45.75" outlineLevel="1" thickBot="1" x14ac:dyDescent="0.3">
      <c r="A216" s="1517">
        <v>118</v>
      </c>
      <c r="B216" s="289" t="s">
        <v>38</v>
      </c>
      <c r="C216" s="1186" t="s">
        <v>73</v>
      </c>
      <c r="D216" s="1677">
        <v>0</v>
      </c>
      <c r="E216" s="1518">
        <f>D216</f>
        <v>0</v>
      </c>
      <c r="F216" s="1518">
        <f>D216</f>
        <v>0</v>
      </c>
      <c r="G216" s="1678">
        <v>0</v>
      </c>
      <c r="H216" s="1518">
        <f>G216</f>
        <v>0</v>
      </c>
      <c r="I216" s="1518">
        <f>G216</f>
        <v>0</v>
      </c>
      <c r="J216" s="1533" t="s">
        <v>209</v>
      </c>
      <c r="K216" s="324">
        <v>216</v>
      </c>
    </row>
    <row r="217" spans="1:11" ht="15.75" outlineLevel="1" thickBot="1" x14ac:dyDescent="0.3">
      <c r="A217" s="1656"/>
      <c r="B217" s="1679"/>
      <c r="C217" s="1658"/>
      <c r="D217" s="1659"/>
      <c r="E217" s="1659"/>
      <c r="F217" s="1659"/>
      <c r="G217" s="1659"/>
      <c r="H217" s="1659"/>
      <c r="I217" s="1659"/>
      <c r="J217" s="1716"/>
      <c r="K217" s="1995">
        <v>217</v>
      </c>
    </row>
    <row r="218" spans="1:11" ht="16.5" outlineLevel="1" thickBot="1" x14ac:dyDescent="0.3">
      <c r="A218" s="1628" t="s">
        <v>39</v>
      </c>
      <c r="B218" s="1634" t="s">
        <v>842</v>
      </c>
      <c r="C218" s="1680"/>
      <c r="D218" s="1631"/>
      <c r="E218" s="1631"/>
      <c r="F218" s="1631"/>
      <c r="G218" s="1631"/>
      <c r="H218" s="1631"/>
      <c r="I218" s="1631"/>
      <c r="J218" s="1676"/>
      <c r="K218" s="1882">
        <v>218</v>
      </c>
    </row>
    <row r="219" spans="1:11" ht="58.5" customHeight="1" outlineLevel="1" x14ac:dyDescent="0.25">
      <c r="A219" s="1353">
        <v>119</v>
      </c>
      <c r="B219" s="1175" t="s">
        <v>543</v>
      </c>
      <c r="C219" s="175" t="s">
        <v>73</v>
      </c>
      <c r="D219" s="31">
        <v>0</v>
      </c>
      <c r="E219" s="278">
        <f>D219</f>
        <v>0</v>
      </c>
      <c r="F219" s="278">
        <f>D219</f>
        <v>0</v>
      </c>
      <c r="G219" s="1144">
        <v>0</v>
      </c>
      <c r="H219" s="278">
        <f>G219</f>
        <v>0</v>
      </c>
      <c r="I219" s="278">
        <f>G219</f>
        <v>0</v>
      </c>
      <c r="J219" s="1489" t="s">
        <v>949</v>
      </c>
      <c r="K219" s="24">
        <v>219</v>
      </c>
    </row>
    <row r="220" spans="1:11" ht="30" customHeight="1" outlineLevel="1" x14ac:dyDescent="0.25">
      <c r="A220" s="70"/>
      <c r="B220" s="88" t="s">
        <v>983</v>
      </c>
      <c r="C220" s="176" t="s">
        <v>73</v>
      </c>
      <c r="D220" s="279">
        <f>IF(AND(BGOEWRekenModule="Ja",Basisgegevens!$E$194=BGPartner_AP),BGOEWWoonvergoeding*12,0)</f>
        <v>0</v>
      </c>
      <c r="E220" s="1515" t="s">
        <v>242</v>
      </c>
      <c r="F220" s="1515" t="s">
        <v>242</v>
      </c>
      <c r="G220" s="824">
        <f>IF(AND(BGOEWRekenModule="Ja",Basisgegevens!$E$194=BGPartner_AG),BGOEWWoonvergoeding*12,0)</f>
        <v>0</v>
      </c>
      <c r="H220" s="1515" t="s">
        <v>242</v>
      </c>
      <c r="I220" s="1515" t="s">
        <v>242</v>
      </c>
      <c r="J220" s="1548" t="s">
        <v>834</v>
      </c>
      <c r="K220" s="58">
        <v>220</v>
      </c>
    </row>
    <row r="221" spans="1:11" outlineLevel="1" x14ac:dyDescent="0.25">
      <c r="A221" s="70"/>
      <c r="B221" s="88" t="s">
        <v>279</v>
      </c>
      <c r="C221" s="178" t="s">
        <v>73</v>
      </c>
      <c r="D221" s="279">
        <f>BG119aBijstand_AP</f>
        <v>0</v>
      </c>
      <c r="E221" s="279">
        <f>BG119aBijstand_AP</f>
        <v>0</v>
      </c>
      <c r="F221" s="279">
        <f>BG119aBijstand_AP</f>
        <v>0</v>
      </c>
      <c r="G221" s="824">
        <f>BG119aBijstand_AG</f>
        <v>0</v>
      </c>
      <c r="H221" s="824">
        <f>BG119aBijstand_AG</f>
        <v>0</v>
      </c>
      <c r="I221" s="824">
        <f>BG119aBijstand_AG</f>
        <v>0</v>
      </c>
      <c r="J221" s="1530" t="s">
        <v>984</v>
      </c>
      <c r="K221" s="58">
        <v>221</v>
      </c>
    </row>
    <row r="222" spans="1:11" ht="45" outlineLevel="1" x14ac:dyDescent="0.25">
      <c r="A222" s="70"/>
      <c r="B222" s="88" t="s">
        <v>793</v>
      </c>
      <c r="C222" s="178" t="s">
        <v>73</v>
      </c>
      <c r="D222" s="1515" t="s">
        <v>242</v>
      </c>
      <c r="E222" s="279">
        <f>IF(BGKGBbij119a="Nee",0,BG119aKGBNaScheidingAP*12)</f>
        <v>0</v>
      </c>
      <c r="F222" s="1515" t="s">
        <v>242</v>
      </c>
      <c r="G222" s="1515" t="s">
        <v>242</v>
      </c>
      <c r="H222" s="279">
        <f>IF(BGKGBbij119a="Nee",0,BG119aKGBNaScheidingAG*12)</f>
        <v>0</v>
      </c>
      <c r="I222" s="1515" t="s">
        <v>242</v>
      </c>
      <c r="J222" s="1530" t="s">
        <v>792</v>
      </c>
      <c r="K222" s="58">
        <v>222</v>
      </c>
    </row>
    <row r="223" spans="1:11" ht="44.25" customHeight="1" outlineLevel="1" thickBot="1" x14ac:dyDescent="0.3">
      <c r="A223" s="71"/>
      <c r="B223" s="918" t="s">
        <v>794</v>
      </c>
      <c r="C223" s="1186" t="s">
        <v>73</v>
      </c>
      <c r="D223" s="842">
        <v>0</v>
      </c>
      <c r="E223" s="281">
        <f>D223</f>
        <v>0</v>
      </c>
      <c r="F223" s="281">
        <f>D223</f>
        <v>0</v>
      </c>
      <c r="G223" s="313">
        <v>0</v>
      </c>
      <c r="H223" s="281">
        <f>G223</f>
        <v>0</v>
      </c>
      <c r="I223" s="281">
        <f>G223</f>
        <v>0</v>
      </c>
      <c r="J223" s="1490" t="s">
        <v>361</v>
      </c>
      <c r="K223" s="26">
        <v>223</v>
      </c>
    </row>
    <row r="224" spans="1:11" ht="15.75" thickBot="1" x14ac:dyDescent="0.3">
      <c r="A224" s="1590" t="s">
        <v>39</v>
      </c>
      <c r="B224" s="620" t="s">
        <v>1005</v>
      </c>
      <c r="C224" s="621"/>
      <c r="D224" s="1586">
        <f t="shared" ref="D224:I224" si="14">SUM(D219:D223)</f>
        <v>0</v>
      </c>
      <c r="E224" s="1171">
        <f t="shared" si="14"/>
        <v>0</v>
      </c>
      <c r="F224" s="1171">
        <f t="shared" si="14"/>
        <v>0</v>
      </c>
      <c r="G224" s="1171">
        <f t="shared" si="14"/>
        <v>0</v>
      </c>
      <c r="H224" s="1587">
        <f t="shared" si="14"/>
        <v>0</v>
      </c>
      <c r="I224" s="1587">
        <f t="shared" si="14"/>
        <v>0</v>
      </c>
      <c r="J224" s="1588"/>
      <c r="K224" s="2001">
        <v>224</v>
      </c>
    </row>
    <row r="225" spans="1:12" ht="15.75" thickBot="1" x14ac:dyDescent="0.3">
      <c r="A225" s="1656"/>
      <c r="B225" s="1679"/>
      <c r="C225" s="1658"/>
      <c r="D225" s="1659"/>
      <c r="E225" s="1659"/>
      <c r="F225" s="1659"/>
      <c r="G225" s="1659"/>
      <c r="H225" s="1659"/>
      <c r="I225" s="1659"/>
      <c r="J225" s="1716"/>
      <c r="K225" s="1995">
        <v>225</v>
      </c>
    </row>
    <row r="226" spans="1:12" ht="16.5" thickBot="1" x14ac:dyDescent="0.3">
      <c r="A226" s="1981" t="s">
        <v>40</v>
      </c>
      <c r="B226" s="1982" t="s">
        <v>1020</v>
      </c>
      <c r="C226" s="1983"/>
      <c r="D226" s="1078"/>
      <c r="E226" s="1078"/>
      <c r="F226" s="1078"/>
      <c r="G226" s="1078"/>
      <c r="H226" s="1078"/>
      <c r="I226" s="1078"/>
      <c r="J226" s="1676"/>
      <c r="K226" s="1882">
        <v>226</v>
      </c>
    </row>
    <row r="227" spans="1:12" ht="30.75" outlineLevel="1" thickBot="1" x14ac:dyDescent="0.3">
      <c r="A227" s="69" t="s">
        <v>1013</v>
      </c>
      <c r="B227" s="73" t="s">
        <v>1014</v>
      </c>
      <c r="C227" s="176" t="s">
        <v>68</v>
      </c>
      <c r="D227" s="2086">
        <f>IF(Basisgegevens!D116="zie jaarloon (60)",0,Basisgegevens!D116)</f>
        <v>0</v>
      </c>
      <c r="E227" s="278">
        <f>D227</f>
        <v>0</v>
      </c>
      <c r="F227" s="278">
        <f>D227</f>
        <v>0</v>
      </c>
      <c r="G227" s="822">
        <f>IF(Basisgegevens!F116="zie jaarloon (60)",0,Basisgegevens!F116)</f>
        <v>0</v>
      </c>
      <c r="H227" s="278">
        <f>G227</f>
        <v>0</v>
      </c>
      <c r="I227" s="278">
        <f>G227</f>
        <v>0</v>
      </c>
      <c r="J227" s="1531" t="s">
        <v>1019</v>
      </c>
      <c r="K227" s="152">
        <v>227</v>
      </c>
    </row>
    <row r="228" spans="1:12" ht="43.15" customHeight="1" outlineLevel="1" thickBot="1" x14ac:dyDescent="0.3">
      <c r="A228" s="2226">
        <f>A108</f>
        <v>89</v>
      </c>
      <c r="B228" s="2227" t="str">
        <f>B108</f>
        <v>Uitgaven voor inkomensvoorziening:</v>
      </c>
      <c r="C228" s="176" t="s">
        <v>68</v>
      </c>
      <c r="D228" s="1740">
        <f t="shared" ref="D228:H228" si="15">D108</f>
        <v>0</v>
      </c>
      <c r="E228" s="279">
        <f t="shared" si="15"/>
        <v>0</v>
      </c>
      <c r="F228" s="279">
        <f t="shared" ref="F228" si="16">F108</f>
        <v>0</v>
      </c>
      <c r="G228" s="824">
        <f t="shared" si="15"/>
        <v>0</v>
      </c>
      <c r="H228" s="279">
        <f t="shared" si="15"/>
        <v>0</v>
      </c>
      <c r="I228" s="279">
        <f>G228</f>
        <v>0</v>
      </c>
      <c r="J228" s="1549"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Percentage per jaar gaat.</v>
      </c>
      <c r="K228" s="26">
        <v>228</v>
      </c>
    </row>
    <row r="229" spans="1:12" ht="43.15" customHeight="1" outlineLevel="1" thickBot="1" x14ac:dyDescent="0.3">
      <c r="A229" s="2226" t="s">
        <v>40</v>
      </c>
      <c r="B229" s="73" t="s">
        <v>908</v>
      </c>
      <c r="C229" s="176" t="s">
        <v>68</v>
      </c>
      <c r="D229" s="1589">
        <f>AL51aPensioenSparen_AP</f>
        <v>0</v>
      </c>
      <c r="E229" s="1589">
        <f>AL51aPensioenSparen_AP</f>
        <v>0</v>
      </c>
      <c r="F229" s="281">
        <f>AL51aPensioenSparen_AP</f>
        <v>0</v>
      </c>
      <c r="G229" s="919">
        <f>AL51aPensioenSparen_AG</f>
        <v>0</v>
      </c>
      <c r="H229" s="281">
        <f>G229</f>
        <v>0</v>
      </c>
      <c r="I229" s="281">
        <f>G229</f>
        <v>0</v>
      </c>
      <c r="J229" s="1549" t="str">
        <f>"Bijv. premie netto pensioensparen. Dit gaat dan over het bedrag dat boven de fiscaal gefaciliteerde pensioenopbouw tot max. € "&amp;Basisgegevens!C216&amp;" per jaar gaat."</f>
        <v>Bijv. premie netto pensioensparen. Dit gaat dan over het bedrag dat boven de fiscaal gefaciliteerde pensioenopbouw tot max. € 137800 per jaar gaat.</v>
      </c>
      <c r="K229" s="26">
        <v>229</v>
      </c>
    </row>
    <row r="230" spans="1:12" ht="15.75" outlineLevel="1" thickBot="1" x14ac:dyDescent="0.3">
      <c r="A230" s="1938"/>
      <c r="B230" s="2225"/>
      <c r="C230" s="1752"/>
      <c r="D230" s="1191"/>
      <c r="E230" s="1191"/>
      <c r="F230" s="1191"/>
      <c r="G230" s="1191"/>
      <c r="H230" s="1191"/>
      <c r="I230" s="1191"/>
      <c r="J230" s="1716"/>
      <c r="K230" s="1995">
        <v>230</v>
      </c>
    </row>
    <row r="231" spans="1:12" ht="16.5" outlineLevel="1" thickBot="1" x14ac:dyDescent="0.3">
      <c r="A231" s="1981"/>
      <c r="B231" s="1982" t="s">
        <v>851</v>
      </c>
      <c r="C231" s="1983"/>
      <c r="D231" s="1631"/>
      <c r="E231" s="1631"/>
      <c r="F231" s="1631"/>
      <c r="G231" s="1631"/>
      <c r="H231" s="1631"/>
      <c r="I231" s="1631"/>
      <c r="J231" s="1676"/>
      <c r="K231" s="1999">
        <v>231</v>
      </c>
    </row>
    <row r="232" spans="1:12" outlineLevel="1" x14ac:dyDescent="0.25">
      <c r="A232" s="1985" t="str">
        <f>A197</f>
        <v>41/57</v>
      </c>
      <c r="B232" s="1986" t="str">
        <f>B197</f>
        <v>Ink.afhankelijke bijdrage premie ZVW al betaald bij post 41 Looninkomsten</v>
      </c>
      <c r="C232" s="1987" t="s">
        <v>68</v>
      </c>
      <c r="D232" s="1487">
        <f>IF(Basisgegevens!D115="zie jaarloon (60)",0,Basisgegevens!D115)</f>
        <v>0</v>
      </c>
      <c r="E232" s="1739">
        <f t="shared" ref="E232:E237" si="17">D232</f>
        <v>0</v>
      </c>
      <c r="F232" s="1739">
        <f>D232</f>
        <v>0</v>
      </c>
      <c r="G232" s="1488">
        <f>IF(Basisgegevens!F115="zie jaarloon (60)",0,Basisgegevens!F115)</f>
        <v>0</v>
      </c>
      <c r="H232" s="1487">
        <f t="shared" ref="H232:H237" si="18">G232</f>
        <v>0</v>
      </c>
      <c r="I232" s="1488">
        <f>G232</f>
        <v>0</v>
      </c>
      <c r="J232" s="1540"/>
      <c r="K232" s="2022">
        <v>232</v>
      </c>
    </row>
    <row r="233" spans="1:12" outlineLevel="1" x14ac:dyDescent="0.25">
      <c r="A233" s="1961" t="str">
        <f>A203</f>
        <v>44/47/48</v>
      </c>
      <c r="B233" s="287" t="str">
        <f>B203</f>
        <v>Bruto arbeidsinkomen uit dienstbetrekking (1 en 2) als DGA? Nee (AP) / Nee (AG)</v>
      </c>
      <c r="C233" s="1212" t="s">
        <v>68</v>
      </c>
      <c r="D233" s="824">
        <f>E203</f>
        <v>0</v>
      </c>
      <c r="E233" s="1740">
        <f t="shared" si="17"/>
        <v>0</v>
      </c>
      <c r="F233" s="1740">
        <f t="shared" ref="F233:F237" si="19">D233</f>
        <v>0</v>
      </c>
      <c r="G233" s="279">
        <f>H203</f>
        <v>0</v>
      </c>
      <c r="H233" s="824">
        <f t="shared" ref="H233" si="20">G233</f>
        <v>0</v>
      </c>
      <c r="I233" s="279">
        <f t="shared" ref="I233:I237" si="21">G233</f>
        <v>0</v>
      </c>
      <c r="J233" s="1530"/>
      <c r="K233" s="878">
        <v>233</v>
      </c>
    </row>
    <row r="234" spans="1:12" s="2214" customFormat="1" outlineLevel="1" x14ac:dyDescent="0.25">
      <c r="A234" s="1961">
        <f t="shared" ref="A234:B234" si="22">A204</f>
        <v>42</v>
      </c>
      <c r="B234" s="287" t="str">
        <f t="shared" si="22"/>
        <v>Bruto AOW-uitkering (geen premies werknemersverzekeringen)</v>
      </c>
      <c r="C234" s="1212" t="s">
        <v>68</v>
      </c>
      <c r="D234" s="824">
        <f t="shared" ref="D234:D236" si="23">E204</f>
        <v>0</v>
      </c>
      <c r="E234" s="1740">
        <f t="shared" ref="E234:E236" si="24">D234</f>
        <v>0</v>
      </c>
      <c r="F234" s="1740">
        <f t="shared" si="19"/>
        <v>0</v>
      </c>
      <c r="G234" s="279">
        <f t="shared" ref="G234:G236" si="25">H204</f>
        <v>0</v>
      </c>
      <c r="H234" s="824">
        <f t="shared" ref="H234:H236" si="26">G234</f>
        <v>0</v>
      </c>
      <c r="I234" s="279">
        <f t="shared" si="21"/>
        <v>0</v>
      </c>
      <c r="J234" s="2448"/>
      <c r="K234" s="2213">
        <v>234</v>
      </c>
      <c r="L234" s="1"/>
    </row>
    <row r="235" spans="1:12" outlineLevel="1" x14ac:dyDescent="0.25">
      <c r="A235" s="1961">
        <f t="shared" ref="A235:B235" si="27">A205</f>
        <v>50</v>
      </c>
      <c r="B235" s="287" t="str">
        <f t="shared" si="27"/>
        <v>Bruto pensioen (vakantietoeslag niet altijd inbegrepen)</v>
      </c>
      <c r="C235" s="1212" t="s">
        <v>68</v>
      </c>
      <c r="D235" s="824">
        <f t="shared" si="23"/>
        <v>0</v>
      </c>
      <c r="E235" s="1740">
        <f t="shared" si="24"/>
        <v>0</v>
      </c>
      <c r="F235" s="1740">
        <f t="shared" si="19"/>
        <v>0</v>
      </c>
      <c r="G235" s="279">
        <f t="shared" si="25"/>
        <v>0</v>
      </c>
      <c r="H235" s="824">
        <f t="shared" si="26"/>
        <v>0</v>
      </c>
      <c r="I235" s="279">
        <f t="shared" si="21"/>
        <v>0</v>
      </c>
      <c r="J235" s="1530"/>
      <c r="K235" s="878">
        <v>235</v>
      </c>
    </row>
    <row r="236" spans="1:12" outlineLevel="1" x14ac:dyDescent="0.25">
      <c r="A236" s="1961">
        <f t="shared" ref="A236:B236" si="28">A206</f>
        <v>75</v>
      </c>
      <c r="B236" s="287" t="str">
        <f t="shared" si="28"/>
        <v>Belastbare winst uit onderneming</v>
      </c>
      <c r="C236" s="1212" t="s">
        <v>68</v>
      </c>
      <c r="D236" s="824">
        <f t="shared" si="23"/>
        <v>0</v>
      </c>
      <c r="E236" s="1740">
        <f t="shared" si="24"/>
        <v>0</v>
      </c>
      <c r="F236" s="1740">
        <f t="shared" si="19"/>
        <v>0</v>
      </c>
      <c r="G236" s="279">
        <f t="shared" si="25"/>
        <v>0</v>
      </c>
      <c r="H236" s="824">
        <f t="shared" si="26"/>
        <v>0</v>
      </c>
      <c r="I236" s="279">
        <f t="shared" si="21"/>
        <v>0</v>
      </c>
      <c r="J236" s="1530"/>
      <c r="K236" s="878">
        <v>236</v>
      </c>
    </row>
    <row r="237" spans="1:12" outlineLevel="1" x14ac:dyDescent="0.25">
      <c r="A237" s="1961">
        <f t="shared" ref="A237:B241" si="29">A207</f>
        <v>78</v>
      </c>
      <c r="B237" s="287" t="str">
        <f t="shared" si="29"/>
        <v>Belastbaar resultaat uit overige werkzaamheden</v>
      </c>
      <c r="C237" s="1212" t="s">
        <v>68</v>
      </c>
      <c r="D237" s="824">
        <f>E207</f>
        <v>0</v>
      </c>
      <c r="E237" s="1740">
        <f t="shared" si="17"/>
        <v>0</v>
      </c>
      <c r="F237" s="1740">
        <f t="shared" si="19"/>
        <v>0</v>
      </c>
      <c r="G237" s="279">
        <f>H207</f>
        <v>0</v>
      </c>
      <c r="H237" s="824">
        <f t="shared" si="18"/>
        <v>0</v>
      </c>
      <c r="I237" s="279">
        <f t="shared" si="21"/>
        <v>0</v>
      </c>
      <c r="J237" s="1530"/>
      <c r="K237" s="878">
        <v>237</v>
      </c>
    </row>
    <row r="238" spans="1:12" outlineLevel="1" x14ac:dyDescent="0.25">
      <c r="A238" s="1962" t="str">
        <f t="shared" si="29"/>
        <v>79a</v>
      </c>
      <c r="B238" s="253" t="str">
        <f t="shared" si="29"/>
        <v>VEW: Ontvangen hypotheekrente als partneralimentatie</v>
      </c>
      <c r="C238" s="1177" t="s">
        <v>68</v>
      </c>
      <c r="D238" s="1980">
        <f>E208</f>
        <v>0</v>
      </c>
      <c r="E238" s="807" t="s">
        <v>695</v>
      </c>
      <c r="F238" s="807" t="s">
        <v>695</v>
      </c>
      <c r="G238" s="279">
        <f>H208</f>
        <v>0</v>
      </c>
      <c r="H238" s="2433" t="s">
        <v>695</v>
      </c>
      <c r="I238" s="807" t="s">
        <v>695</v>
      </c>
      <c r="J238" s="1530"/>
      <c r="K238" s="2023">
        <v>238</v>
      </c>
    </row>
    <row r="239" spans="1:12" outlineLevel="1" x14ac:dyDescent="0.25">
      <c r="A239" s="1961">
        <f t="shared" si="29"/>
        <v>81</v>
      </c>
      <c r="B239" s="287" t="str">
        <f t="shared" si="29"/>
        <v>Belastbare periodieke uitkeringen en verstrekkingen</v>
      </c>
      <c r="C239" s="1212" t="s">
        <v>68</v>
      </c>
      <c r="D239" s="824">
        <f t="shared" ref="D239:D241" si="30">E209</f>
        <v>0</v>
      </c>
      <c r="E239" s="1740">
        <f t="shared" ref="E239:E241" si="31">D239</f>
        <v>0</v>
      </c>
      <c r="F239" s="1740">
        <f>D239</f>
        <v>0</v>
      </c>
      <c r="G239" s="279">
        <f t="shared" ref="G239:G241" si="32">H209</f>
        <v>0</v>
      </c>
      <c r="H239" s="824">
        <f t="shared" ref="H239:H241" si="33">G239</f>
        <v>0</v>
      </c>
      <c r="I239" s="279">
        <f>G239</f>
        <v>0</v>
      </c>
      <c r="J239" s="1531"/>
      <c r="K239" s="878">
        <v>239</v>
      </c>
    </row>
    <row r="240" spans="1:12" outlineLevel="1" x14ac:dyDescent="0.25">
      <c r="A240" s="1961" t="str">
        <f t="shared" si="29"/>
        <v>117a</v>
      </c>
      <c r="B240" s="287" t="str">
        <f t="shared" si="29"/>
        <v>OEW: Eigen Woning Forfait bijdrage ZVW over EWF berekenen over</v>
      </c>
      <c r="C240" s="1212" t="s">
        <v>68</v>
      </c>
      <c r="D240" s="824">
        <f t="shared" si="30"/>
        <v>0</v>
      </c>
      <c r="E240" s="1740">
        <f t="shared" si="31"/>
        <v>0</v>
      </c>
      <c r="F240" s="1740">
        <f>D240</f>
        <v>0</v>
      </c>
      <c r="G240" s="279">
        <f t="shared" si="32"/>
        <v>0</v>
      </c>
      <c r="H240" s="824">
        <f t="shared" si="33"/>
        <v>0</v>
      </c>
      <c r="I240" s="279">
        <f>G240</f>
        <v>0</v>
      </c>
      <c r="J240" s="1530"/>
      <c r="K240" s="878">
        <v>240</v>
      </c>
    </row>
    <row r="241" spans="1:15" ht="15.75" outlineLevel="1" thickBot="1" x14ac:dyDescent="0.3">
      <c r="A241" s="2216" t="str">
        <f t="shared" si="29"/>
        <v>117a</v>
      </c>
      <c r="B241" s="2217" t="str">
        <f t="shared" si="29"/>
        <v>OEW: Rente bijdrage ZVW over de rente berekenen over</v>
      </c>
      <c r="C241" s="1916" t="s">
        <v>68</v>
      </c>
      <c r="D241" s="828">
        <f t="shared" si="30"/>
        <v>0</v>
      </c>
      <c r="E241" s="1578">
        <f t="shared" si="31"/>
        <v>0</v>
      </c>
      <c r="F241" s="1578">
        <f>D241</f>
        <v>0</v>
      </c>
      <c r="G241" s="814">
        <f t="shared" si="32"/>
        <v>0</v>
      </c>
      <c r="H241" s="828">
        <f t="shared" si="33"/>
        <v>0</v>
      </c>
      <c r="I241" s="814">
        <f>G241</f>
        <v>0</v>
      </c>
      <c r="J241" s="1531"/>
      <c r="K241" s="2218">
        <v>241</v>
      </c>
    </row>
    <row r="242" spans="1:15" ht="15.75" thickBot="1" x14ac:dyDescent="0.3">
      <c r="A242" s="162" t="s">
        <v>40</v>
      </c>
      <c r="B242" s="2219" t="s">
        <v>281</v>
      </c>
      <c r="C242" s="182"/>
      <c r="D242" s="811">
        <f>SUM(D232:D241)</f>
        <v>0</v>
      </c>
      <c r="E242" s="448">
        <f t="shared" ref="E242:I242" si="34">SUM(E232:E241)</f>
        <v>0</v>
      </c>
      <c r="F242" s="811">
        <f t="shared" si="34"/>
        <v>0</v>
      </c>
      <c r="G242" s="448">
        <f t="shared" si="34"/>
        <v>0</v>
      </c>
      <c r="H242" s="811">
        <f t="shared" si="34"/>
        <v>0</v>
      </c>
      <c r="I242" s="811">
        <f t="shared" si="34"/>
        <v>0</v>
      </c>
      <c r="J242" s="1759"/>
      <c r="K242" s="538">
        <v>242</v>
      </c>
    </row>
    <row r="243" spans="1:15" ht="30" outlineLevel="1" x14ac:dyDescent="0.25">
      <c r="A243" s="1286"/>
      <c r="B243" s="75" t="s">
        <v>210</v>
      </c>
      <c r="C243" s="1470"/>
      <c r="D243" s="812">
        <f t="shared" ref="D243:I243" si="35">D192+D216+D224-SUM(D227:D229)-D242</f>
        <v>0</v>
      </c>
      <c r="E243" s="812">
        <f t="shared" si="35"/>
        <v>0</v>
      </c>
      <c r="F243" s="812">
        <f t="shared" si="35"/>
        <v>0</v>
      </c>
      <c r="G243" s="812">
        <f t="shared" si="35"/>
        <v>0</v>
      </c>
      <c r="H243" s="812">
        <f t="shared" si="35"/>
        <v>0</v>
      </c>
      <c r="I243" s="812">
        <f t="shared" si="35"/>
        <v>0</v>
      </c>
      <c r="J243" s="1552" t="s">
        <v>688</v>
      </c>
      <c r="K243" s="59">
        <v>243</v>
      </c>
    </row>
    <row r="244" spans="1:15" ht="30.75" outlineLevel="1" thickBot="1" x14ac:dyDescent="0.3">
      <c r="A244" s="1287"/>
      <c r="B244" s="513" t="s">
        <v>702</v>
      </c>
      <c r="C244" s="1212" t="s">
        <v>68</v>
      </c>
      <c r="D244" s="847">
        <v>0</v>
      </c>
      <c r="E244" s="1174">
        <v>0</v>
      </c>
      <c r="F244" s="1174">
        <v>0</v>
      </c>
      <c r="G244" s="847">
        <v>0</v>
      </c>
      <c r="H244" s="1472">
        <v>0</v>
      </c>
      <c r="I244" s="1472">
        <v>0</v>
      </c>
      <c r="J244" s="1553" t="s">
        <v>204</v>
      </c>
      <c r="K244" s="58">
        <v>244</v>
      </c>
      <c r="N244" s="2320" t="s">
        <v>1075</v>
      </c>
    </row>
    <row r="245" spans="1:15" ht="30.75" thickBot="1" x14ac:dyDescent="0.3">
      <c r="A245" s="1431">
        <v>120</v>
      </c>
      <c r="B245" s="1430" t="s">
        <v>972</v>
      </c>
      <c r="C245" s="1432"/>
      <c r="D245" s="1507">
        <f>D243-D244</f>
        <v>0</v>
      </c>
      <c r="E245" s="1507">
        <f t="shared" ref="E245:H245" si="36">E243-E244</f>
        <v>0</v>
      </c>
      <c r="F245" s="1507">
        <f t="shared" ref="F245" si="37">F243-F244</f>
        <v>0</v>
      </c>
      <c r="G245" s="1507">
        <f t="shared" si="36"/>
        <v>0</v>
      </c>
      <c r="H245" s="1507">
        <f t="shared" si="36"/>
        <v>0</v>
      </c>
      <c r="I245" s="1507">
        <f t="shared" ref="I245" si="38">I243-I244</f>
        <v>0</v>
      </c>
      <c r="J245" s="1554" t="s">
        <v>362</v>
      </c>
      <c r="K245" s="2025">
        <v>245</v>
      </c>
      <c r="M245" s="1507">
        <f>D243-D244</f>
        <v>0</v>
      </c>
      <c r="N245" s="1507">
        <f>G243-G244+IF(BGKGBbij119a="Nee",0,BG119aKGBNaScheidingAG*12)</f>
        <v>0</v>
      </c>
    </row>
    <row r="246" spans="1:15" ht="15.75" thickBot="1" x14ac:dyDescent="0.3">
      <c r="A246" s="1082"/>
      <c r="B246" s="2228"/>
      <c r="C246" s="2229"/>
      <c r="D246" s="2230"/>
      <c r="E246" s="2230"/>
      <c r="F246" s="2230"/>
      <c r="G246" s="2230"/>
      <c r="H246" s="2230"/>
      <c r="I246" s="2230"/>
      <c r="J246" s="2231"/>
      <c r="K246" s="1097">
        <v>246</v>
      </c>
      <c r="M246" s="2230"/>
      <c r="N246" s="2230"/>
    </row>
    <row r="247" spans="1:15" ht="15.75" thickBot="1" x14ac:dyDescent="0.3">
      <c r="A247" s="162">
        <v>121</v>
      </c>
      <c r="B247" s="163" t="s">
        <v>417</v>
      </c>
      <c r="C247" s="172"/>
      <c r="D247" s="811">
        <f t="shared" ref="D247:I247" si="39">D245/12</f>
        <v>0</v>
      </c>
      <c r="E247" s="811">
        <f t="shared" si="39"/>
        <v>0</v>
      </c>
      <c r="F247" s="811">
        <f t="shared" si="39"/>
        <v>0</v>
      </c>
      <c r="G247" s="811">
        <f t="shared" si="39"/>
        <v>0</v>
      </c>
      <c r="H247" s="811">
        <f t="shared" si="39"/>
        <v>0</v>
      </c>
      <c r="I247" s="811">
        <f t="shared" si="39"/>
        <v>0</v>
      </c>
      <c r="J247" s="1525" t="s">
        <v>211</v>
      </c>
      <c r="K247" s="538">
        <v>247</v>
      </c>
      <c r="M247" s="811">
        <f>M245/12</f>
        <v>0</v>
      </c>
      <c r="N247" s="811">
        <f>(N245/12)</f>
        <v>0</v>
      </c>
    </row>
    <row r="248" spans="1:15" ht="15.75" thickBot="1" x14ac:dyDescent="0.3">
      <c r="A248" s="1591"/>
      <c r="B248" s="1592" t="s">
        <v>364</v>
      </c>
      <c r="C248" s="1593"/>
      <c r="D248" s="1594">
        <f>D247*Basisgegevens!$C223</f>
        <v>0</v>
      </c>
      <c r="E248" s="1595">
        <f>E247*Basisgegevens!$C223</f>
        <v>0</v>
      </c>
      <c r="F248" s="1595">
        <f>F247*Basisgegevens!$C223</f>
        <v>0</v>
      </c>
      <c r="G248" s="1594">
        <f>G247*Basisgegevens!$C223</f>
        <v>0</v>
      </c>
      <c r="H248" s="1596">
        <f>H247*Basisgegevens!$C223</f>
        <v>0</v>
      </c>
      <c r="I248" s="1596">
        <f>I247*Basisgegevens!$C223</f>
        <v>0</v>
      </c>
      <c r="J248" s="1597"/>
      <c r="K248" s="2026">
        <v>248</v>
      </c>
      <c r="M248" s="2323">
        <f>M247*Basisgegevens!$C223</f>
        <v>0</v>
      </c>
      <c r="N248" s="1596">
        <f>N247*Basisgegevens!$C223</f>
        <v>0</v>
      </c>
    </row>
    <row r="249" spans="1:15" ht="15.75" thickBot="1" x14ac:dyDescent="0.3">
      <c r="A249" s="1604"/>
      <c r="B249" s="1512"/>
      <c r="C249" s="1605"/>
      <c r="D249" s="1606"/>
      <c r="E249" s="1072"/>
      <c r="F249" s="1072"/>
      <c r="G249" s="1606"/>
      <c r="H249" s="1072"/>
      <c r="I249" s="1072"/>
      <c r="J249" s="1549"/>
      <c r="K249" s="147">
        <v>249</v>
      </c>
      <c r="M249" s="849"/>
      <c r="N249" s="2313"/>
    </row>
    <row r="250" spans="1:15" ht="21.75" thickBot="1" x14ac:dyDescent="0.3">
      <c r="A250" s="1660"/>
      <c r="B250" s="1941" t="s">
        <v>283</v>
      </c>
      <c r="C250" s="1662"/>
      <c r="D250" s="821"/>
      <c r="E250" s="821"/>
      <c r="F250" s="821"/>
      <c r="G250" s="821"/>
      <c r="H250" s="821"/>
      <c r="I250" s="1663"/>
      <c r="J250" s="2061"/>
      <c r="K250" s="2064">
        <v>250</v>
      </c>
      <c r="M250" s="2066"/>
      <c r="N250" s="2066"/>
    </row>
    <row r="251" spans="1:15" ht="16.5" outlineLevel="1" thickBot="1" x14ac:dyDescent="0.3">
      <c r="A251" s="1644"/>
      <c r="B251" s="2449" t="s">
        <v>42</v>
      </c>
      <c r="C251" s="1493"/>
      <c r="D251" s="2069"/>
      <c r="E251" s="2069"/>
      <c r="F251" s="2069"/>
      <c r="G251" s="2070"/>
      <c r="H251" s="2069"/>
      <c r="I251" s="2069"/>
      <c r="J251" s="2432"/>
      <c r="K251" s="1097">
        <v>251</v>
      </c>
      <c r="M251" s="2321" t="str">
        <f>B251</f>
        <v>Lasten</v>
      </c>
      <c r="N251" s="2082"/>
    </row>
    <row r="252" spans="1:15" outlineLevel="1" x14ac:dyDescent="0.25">
      <c r="A252" s="1353">
        <v>122</v>
      </c>
      <c r="B252" s="72" t="s">
        <v>1008</v>
      </c>
      <c r="C252" s="175"/>
      <c r="D252" s="278">
        <f>Basisgegevens!C255</f>
        <v>1260</v>
      </c>
      <c r="E252" s="917">
        <f>Basisgegevens!C255</f>
        <v>1260</v>
      </c>
      <c r="F252" s="917">
        <f>Basisgegevens!M255</f>
        <v>1260</v>
      </c>
      <c r="G252" s="822">
        <f>Basisgegevens!D255</f>
        <v>1260</v>
      </c>
      <c r="H252" s="917">
        <f>Basisgegevens!D255</f>
        <v>1260</v>
      </c>
      <c r="I252" s="917">
        <f>Basisgegevens!N255</f>
        <v>1260</v>
      </c>
      <c r="J252" s="1489"/>
      <c r="K252" s="24">
        <v>252</v>
      </c>
      <c r="M252" s="917">
        <f>Basisgegevens!I255</f>
        <v>0</v>
      </c>
      <c r="N252" s="917">
        <f>Basisgegevens!D255</f>
        <v>1260</v>
      </c>
    </row>
    <row r="253" spans="1:15" ht="30" customHeight="1" outlineLevel="1" thickBot="1" x14ac:dyDescent="0.3">
      <c r="A253" s="71">
        <v>123</v>
      </c>
      <c r="B253" s="918" t="str">
        <f>"Woonbudget"</f>
        <v>Woonbudget</v>
      </c>
      <c r="C253" s="177" t="s">
        <v>73</v>
      </c>
      <c r="D253" s="993">
        <f>D248</f>
        <v>0</v>
      </c>
      <c r="E253" s="993">
        <f>IF(BG123VastWoonbudget_AP="Berekenen",BG123WoonbudgetPercentage*E247,BG123VastWoonbudget_AP)</f>
        <v>563</v>
      </c>
      <c r="F253" s="993">
        <f>IF(BG123VastWoonbudget_AP_Z_KGB="Berekenen",BG123WoonbudgetPercentage*F247,BG123VastWoonbudget_AP_Z_KGB)</f>
        <v>563</v>
      </c>
      <c r="G253" s="993">
        <f>G248</f>
        <v>0</v>
      </c>
      <c r="H253" s="993">
        <f>IF(BG123VastWoonbudget_AG="Berekenen",BG123WoonbudgetPercentage*H247,BG123VastWoonbudget_AG)</f>
        <v>563</v>
      </c>
      <c r="I253" s="993">
        <f>IF(BG123VastWoonbudget_AG_Z_KGB="Berekenen",BG123WoonbudgetPercentage*I247,BG123VastWoonbudget_AG_Z_KGB)</f>
        <v>563</v>
      </c>
      <c r="J253" s="1556" t="str">
        <f>"Bij partner/kinderalimentatie gelden vaste tabelbedragen als het NBI lager is dan € "&amp;Basisgegevens!$E274&amp;" (Werkend) of  € "&amp;Basisgegevens!$E284&amp;" (AOW)"</f>
        <v>Bij partner/kinderalimentatie gelden vaste tabelbedragen als het NBI lager is dan € 2125 (Werkend) of  € 2300 (AOW)</v>
      </c>
      <c r="K253" s="26">
        <v>253</v>
      </c>
      <c r="M253" s="993">
        <f>IF(BG123VastWoonbudget_AP="Berekenen",BG123WoonbudgetPercentage*M247,BG123VastWoonbudget_AP)</f>
        <v>563</v>
      </c>
      <c r="N253" s="993">
        <f>IF(BG123VastWoonbudget_AG="Berekenen",BG123WoonbudgetPercentage*N247,BG123VastWoonbudget_AG)</f>
        <v>563</v>
      </c>
      <c r="O253" s="2192"/>
    </row>
    <row r="254" spans="1:15" ht="15.75" outlineLevel="1" thickBot="1" x14ac:dyDescent="0.3">
      <c r="A254" s="1644"/>
      <c r="B254" s="1183"/>
      <c r="C254" s="1493"/>
      <c r="D254" s="2083"/>
      <c r="E254" s="2083"/>
      <c r="F254" s="2083"/>
      <c r="G254" s="1764"/>
      <c r="H254" s="2083"/>
      <c r="I254" s="2083"/>
      <c r="J254" s="2060"/>
      <c r="K254" s="298">
        <v>254</v>
      </c>
      <c r="M254" s="2083"/>
      <c r="N254" s="2083"/>
    </row>
    <row r="255" spans="1:15" ht="15.75" outlineLevel="1" thickBot="1" x14ac:dyDescent="0.3">
      <c r="A255" s="1511"/>
      <c r="B255" s="2071" t="s">
        <v>947</v>
      </c>
      <c r="C255" s="1188"/>
      <c r="D255" s="2075"/>
      <c r="E255" s="2075"/>
      <c r="F255" s="2075"/>
      <c r="G255" s="2076"/>
      <c r="H255" s="2075"/>
      <c r="I255" s="2075"/>
      <c r="J255" s="2074"/>
      <c r="K255" s="1755">
        <v>255</v>
      </c>
      <c r="M255" s="2322" t="str">
        <f>B255</f>
        <v>Werkelijke woonlasten toepassen?</v>
      </c>
      <c r="N255" s="2322"/>
    </row>
    <row r="256" spans="1:15" ht="45" customHeight="1" outlineLevel="1" thickBot="1" x14ac:dyDescent="0.3">
      <c r="A256" s="2077">
        <v>123</v>
      </c>
      <c r="B256" s="2078" t="s">
        <v>973</v>
      </c>
      <c r="C256" s="1485" t="s">
        <v>73</v>
      </c>
      <c r="D256" s="2079">
        <f>Woonlasten_afwijkend!$D46</f>
        <v>0</v>
      </c>
      <c r="E256" s="2079">
        <f>Woonlasten_afwijkend!$D46</f>
        <v>0</v>
      </c>
      <c r="F256" s="2079">
        <f>Woonlasten_afwijkend!$D46</f>
        <v>0</v>
      </c>
      <c r="G256" s="2080">
        <f>Woonlasten_afwijkend!$E46</f>
        <v>0</v>
      </c>
      <c r="H256" s="2079">
        <f>Woonlasten_afwijkend!$E46</f>
        <v>0</v>
      </c>
      <c r="I256" s="2079">
        <f>Woonlasten_afwijkend!$E46</f>
        <v>0</v>
      </c>
      <c r="J256" s="2065" t="s">
        <v>974</v>
      </c>
      <c r="K256" s="1097">
        <v>256</v>
      </c>
      <c r="M256" s="2079">
        <f>Woonlasten_afwijkend!$D46</f>
        <v>0</v>
      </c>
      <c r="N256" s="2079">
        <f>Woonlasten_afwijkend!$E46</f>
        <v>0</v>
      </c>
    </row>
    <row r="257" spans="1:14" ht="15.75" outlineLevel="1" thickBot="1" x14ac:dyDescent="0.3">
      <c r="A257" s="1334"/>
      <c r="B257" s="1735" t="s">
        <v>804</v>
      </c>
      <c r="C257" s="408"/>
      <c r="D257" s="775" t="s">
        <v>106</v>
      </c>
      <c r="E257" s="775" t="s">
        <v>106</v>
      </c>
      <c r="F257" s="2403" t="str">
        <f>E257</f>
        <v>Nee</v>
      </c>
      <c r="G257" s="617" t="s">
        <v>106</v>
      </c>
      <c r="H257" s="775" t="s">
        <v>106</v>
      </c>
      <c r="I257" s="2403" t="str">
        <f>H257</f>
        <v>Nee</v>
      </c>
      <c r="J257" s="2057" t="s">
        <v>860</v>
      </c>
      <c r="K257" s="147">
        <v>257</v>
      </c>
      <c r="M257" s="775" t="s">
        <v>106</v>
      </c>
      <c r="N257" s="2195" t="str">
        <f>G257</f>
        <v>Nee</v>
      </c>
    </row>
    <row r="258" spans="1:14" ht="15.75" outlineLevel="1" thickBot="1" x14ac:dyDescent="0.3">
      <c r="A258" s="1644"/>
      <c r="B258" s="1183"/>
      <c r="C258" s="1493"/>
      <c r="D258" s="2069"/>
      <c r="E258" s="2069"/>
      <c r="F258" s="2069"/>
      <c r="G258" s="2070"/>
      <c r="H258" s="2069"/>
      <c r="I258" s="2069"/>
      <c r="J258" s="2060"/>
      <c r="K258" s="298">
        <v>258</v>
      </c>
      <c r="M258" s="2069"/>
      <c r="N258" s="2069"/>
    </row>
    <row r="259" spans="1:14" ht="15.75" outlineLevel="1" thickBot="1" x14ac:dyDescent="0.3">
      <c r="A259" s="1511"/>
      <c r="B259" s="2071" t="s">
        <v>948</v>
      </c>
      <c r="C259" s="1188"/>
      <c r="D259" s="2072"/>
      <c r="E259" s="2072"/>
      <c r="F259" s="2072"/>
      <c r="G259" s="2073"/>
      <c r="H259" s="1180"/>
      <c r="I259" s="1180"/>
      <c r="J259" s="2074"/>
      <c r="K259" s="1755">
        <v>259</v>
      </c>
      <c r="M259" s="2324" t="str">
        <f>B259</f>
        <v>Bijdrage nieuwe partner aan de woonlasten?</v>
      </c>
      <c r="N259" s="1180"/>
    </row>
    <row r="260" spans="1:14" outlineLevel="1" x14ac:dyDescent="0.25">
      <c r="A260" s="1353"/>
      <c r="B260" s="1175" t="str">
        <f>Basisgegevens!B11</f>
        <v>Onderhoudsplichtig &amp; nieuwe partner met eigen inkomen?</v>
      </c>
      <c r="C260" s="175"/>
      <c r="D260" s="917" t="str">
        <f>BGNieuwePartner_AP</f>
        <v>Nee</v>
      </c>
      <c r="E260" s="917" t="str">
        <f>BGNieuwePartner_AP</f>
        <v>Nee</v>
      </c>
      <c r="F260" s="917" t="str">
        <f>BGNieuwePartner_AP</f>
        <v>Nee</v>
      </c>
      <c r="G260" s="2952" t="s">
        <v>242</v>
      </c>
      <c r="H260" s="2952" t="s">
        <v>242</v>
      </c>
      <c r="I260" s="2952" t="s">
        <v>242</v>
      </c>
      <c r="J260" s="2950" t="str">
        <f>Basisgegevens!E11</f>
        <v>Bij draagkrachttekort beoordelen of er bij onderhoudsplichtige sprake is van duurzaam en aanmerkelijk lagere werkelijke woonlasten dan de 30% forfait norm. Bij een nieuwe partner draagt deze 50% hiervan!</v>
      </c>
      <c r="K260" s="24">
        <v>260</v>
      </c>
      <c r="M260" s="917" t="str">
        <f>BGNieuwePartner_AP</f>
        <v>Nee</v>
      </c>
      <c r="N260" s="2952" t="s">
        <v>242</v>
      </c>
    </row>
    <row r="261" spans="1:14" ht="15.75" outlineLevel="1" thickBot="1" x14ac:dyDescent="0.3">
      <c r="A261" s="137"/>
      <c r="B261" s="1181" t="str">
        <f>Basisgegevens!B12</f>
        <v>Bijdrage van nieuwe partner in de woonlast (50% = norm)</v>
      </c>
      <c r="C261" s="183"/>
      <c r="D261" s="2068">
        <f>BGNieuwePartner_Percentage_AP</f>
        <v>0.5</v>
      </c>
      <c r="E261" s="2068">
        <f>BGNieuwePartner_Percentage_AP</f>
        <v>0.5</v>
      </c>
      <c r="F261" s="2068">
        <f>BGNieuwePartner_Percentage_AP</f>
        <v>0.5</v>
      </c>
      <c r="G261" s="2953"/>
      <c r="H261" s="2953"/>
      <c r="I261" s="2953"/>
      <c r="J261" s="2951"/>
      <c r="K261" s="152">
        <v>261</v>
      </c>
      <c r="M261" s="2068">
        <f>BGNieuwePartner_Percentage_AP</f>
        <v>0.5</v>
      </c>
      <c r="N261" s="2953"/>
    </row>
    <row r="262" spans="1:14" ht="15.75" outlineLevel="1" thickBot="1" x14ac:dyDescent="0.3">
      <c r="A262" s="1334"/>
      <c r="B262" s="1735" t="str">
        <f>"Bijdrage nieuwe partner a "&amp;BGNieuwePartner_Percentage_AP*100&amp;"% doorvoeren op de "&amp;IF(D257="Nee","forfaitaire","werkelijke")&amp;"/"&amp;IF(E257="Nee","forfaitaire","werkelijke")&amp;" woonlasten? "</f>
        <v xml:space="preserve">Bijdrage nieuwe partner a 50% doorvoeren op de forfaitaire/forfaitaire woonlasten? </v>
      </c>
      <c r="C262" s="408"/>
      <c r="D262" s="775" t="s">
        <v>106</v>
      </c>
      <c r="E262" s="775" t="s">
        <v>106</v>
      </c>
      <c r="F262" s="2403" t="str">
        <f>E262</f>
        <v>Nee</v>
      </c>
      <c r="G262" s="2954"/>
      <c r="H262" s="2954"/>
      <c r="I262" s="2954"/>
      <c r="J262" s="2912"/>
      <c r="K262" s="147">
        <v>262</v>
      </c>
      <c r="M262" s="2195" t="str">
        <f>E262</f>
        <v>Nee</v>
      </c>
      <c r="N262" s="2954"/>
    </row>
    <row r="263" spans="1:14" ht="15.75" thickBot="1" x14ac:dyDescent="0.3">
      <c r="A263" s="1293">
        <v>123</v>
      </c>
      <c r="B263" s="2062" t="s">
        <v>750</v>
      </c>
      <c r="C263" s="360"/>
      <c r="D263" s="2067">
        <f>IF(D257="Nee",IF(OR(D260="Nee",D262="Nee"),D253,D253*D261),IF(D262="Nee",Woonlasten_afwijkend!$D46,Woonlasten_afwijkend!$D46*D261))</f>
        <v>0</v>
      </c>
      <c r="E263" s="2067">
        <f>IF(E257="Nee",IF(OR(E260="Nee",E262="Nee"),E253,E253*E261),IF(E262="Nee",Woonlasten_afwijkend!$D46,Woonlasten_afwijkend!$D46*E261))</f>
        <v>563</v>
      </c>
      <c r="F263" s="2067">
        <f>IF(F257="Nee",IF(OR(F260="Nee",F262="Nee"),F253,F253*F261),IF(F262="Nee",Woonlasten_afwijkend!$D46,Woonlasten_afwijkend!$D46*F261))</f>
        <v>563</v>
      </c>
      <c r="G263" s="851">
        <f>IF(G257="Nee",G253,Woonlasten_afwijkend!$E46)</f>
        <v>0</v>
      </c>
      <c r="H263" s="2067">
        <f>IF(H257="Nee",H253,Woonlasten_afwijkend!$E46)</f>
        <v>563</v>
      </c>
      <c r="I263" s="2067">
        <f>IF(I257="Nee",I253,Woonlasten_afwijkend!$E46)</f>
        <v>563</v>
      </c>
      <c r="J263" s="2063"/>
      <c r="K263" s="2024">
        <v>263</v>
      </c>
      <c r="M263" s="2067">
        <f>IF(M257="Nee",IF(OR(M260="Nee",M262="Nee"),M253,M253*M261),IF(M262="Nee",Woonlasten_afwijkend!$D46,Woonlasten_afwijkend!$D46*M261))</f>
        <v>563</v>
      </c>
      <c r="N263" s="2067">
        <f>IF(N257="Nee",N253,Woonlasten_afwijkend!$E46)</f>
        <v>563</v>
      </c>
    </row>
    <row r="264" spans="1:14" outlineLevel="1" x14ac:dyDescent="0.25">
      <c r="A264" s="1683"/>
      <c r="B264" s="1684"/>
      <c r="C264" s="1685"/>
      <c r="D264" s="1686"/>
      <c r="E264" s="1687"/>
      <c r="F264" s="1687"/>
      <c r="G264" s="1686"/>
      <c r="H264" s="1687"/>
      <c r="I264" s="1687"/>
      <c r="J264" s="1717"/>
      <c r="K264" s="1721">
        <v>264</v>
      </c>
      <c r="M264" s="1687"/>
      <c r="N264" s="2314"/>
    </row>
    <row r="265" spans="1:14" ht="18.75" outlineLevel="1" x14ac:dyDescent="0.25">
      <c r="A265" s="1694"/>
      <c r="B265" s="1918" t="s">
        <v>975</v>
      </c>
      <c r="C265" s="1688"/>
      <c r="D265" s="1191"/>
      <c r="E265" s="1689"/>
      <c r="F265" s="1689"/>
      <c r="G265" s="1690"/>
      <c r="H265" s="1689"/>
      <c r="I265" s="1689"/>
      <c r="J265" s="1718"/>
      <c r="K265" s="1722">
        <v>265</v>
      </c>
      <c r="M265" s="1689"/>
      <c r="N265" s="2315"/>
    </row>
    <row r="266" spans="1:14" ht="15.75" thickBot="1" x14ac:dyDescent="0.3">
      <c r="A266" s="1691"/>
      <c r="B266" s="1692"/>
      <c r="C266" s="1693"/>
      <c r="D266" s="1567"/>
      <c r="E266" s="1567"/>
      <c r="F266" s="1567"/>
      <c r="G266" s="1567"/>
      <c r="H266" s="1567"/>
      <c r="I266" s="1567"/>
      <c r="J266" s="1645"/>
      <c r="K266" s="2027">
        <v>266</v>
      </c>
      <c r="M266" s="1567"/>
      <c r="N266" s="1917"/>
    </row>
    <row r="267" spans="1:14" s="1922" customFormat="1" ht="75.75" outlineLevel="1" thickBot="1" x14ac:dyDescent="0.3">
      <c r="A267" s="1463">
        <v>134</v>
      </c>
      <c r="B267" s="289" t="s">
        <v>50</v>
      </c>
      <c r="C267" s="1919" t="s">
        <v>73</v>
      </c>
      <c r="D267" s="1920">
        <v>0</v>
      </c>
      <c r="E267" s="2048" t="s">
        <v>242</v>
      </c>
      <c r="F267" s="2048" t="s">
        <v>242</v>
      </c>
      <c r="G267" s="1920">
        <v>0</v>
      </c>
      <c r="H267" s="2048" t="s">
        <v>242</v>
      </c>
      <c r="I267" s="2048" t="s">
        <v>242</v>
      </c>
      <c r="J267" s="1921" t="s">
        <v>363</v>
      </c>
      <c r="K267" s="2000">
        <v>267</v>
      </c>
      <c r="L267" s="1"/>
      <c r="M267" s="2048" t="s">
        <v>242</v>
      </c>
      <c r="N267" s="2048" t="s">
        <v>242</v>
      </c>
    </row>
    <row r="268" spans="1:14" ht="16.5" thickBot="1" x14ac:dyDescent="0.3">
      <c r="A268" s="1293">
        <v>135</v>
      </c>
      <c r="B268" s="1695" t="s">
        <v>293</v>
      </c>
      <c r="C268" s="1682" t="s">
        <v>68</v>
      </c>
      <c r="D268" s="805">
        <f>D252+D263+D267</f>
        <v>1260</v>
      </c>
      <c r="E268" s="805">
        <f>E252+E263</f>
        <v>1823</v>
      </c>
      <c r="F268" s="2067">
        <f>F252+F263</f>
        <v>1823</v>
      </c>
      <c r="G268" s="805">
        <f>G252+G263+G267</f>
        <v>1260</v>
      </c>
      <c r="H268" s="805">
        <f>H252+H263</f>
        <v>1823</v>
      </c>
      <c r="I268" s="805">
        <f>I252+I263</f>
        <v>1823</v>
      </c>
      <c r="J268" s="1538" t="s">
        <v>219</v>
      </c>
      <c r="K268" s="2003">
        <v>268</v>
      </c>
      <c r="M268" s="805">
        <f>M252+M263</f>
        <v>563</v>
      </c>
      <c r="N268" s="805">
        <f>N252+N263</f>
        <v>1823</v>
      </c>
    </row>
    <row r="269" spans="1:14" ht="15.75" thickBot="1" x14ac:dyDescent="0.3">
      <c r="A269" s="1604"/>
      <c r="B269" s="1512"/>
      <c r="C269" s="1605"/>
      <c r="D269" s="1606"/>
      <c r="E269" s="1913"/>
      <c r="F269" s="1913"/>
      <c r="G269" s="1606"/>
      <c r="H269" s="1072"/>
      <c r="I269" s="1072"/>
      <c r="J269" s="1549"/>
      <c r="K269" s="147">
        <v>269</v>
      </c>
      <c r="M269" s="1626"/>
      <c r="N269" s="2313"/>
    </row>
    <row r="270" spans="1:14" ht="21.75" thickBot="1" x14ac:dyDescent="0.3">
      <c r="A270" s="2450"/>
      <c r="B270" s="1661" t="s">
        <v>51</v>
      </c>
      <c r="C270" s="2451"/>
      <c r="D270" s="2452"/>
      <c r="E270" s="2452"/>
      <c r="F270" s="2452"/>
      <c r="G270" s="2452"/>
      <c r="H270" s="2452"/>
      <c r="I270" s="2453"/>
      <c r="J270" s="1698"/>
      <c r="K270" s="1723">
        <v>270</v>
      </c>
      <c r="M270" s="1697"/>
      <c r="N270" s="1696"/>
    </row>
    <row r="271" spans="1:14" x14ac:dyDescent="0.25">
      <c r="A271" s="1286"/>
      <c r="B271" s="374" t="str">
        <f>B247</f>
        <v>Netto Besteedbaar Inkomen (NBI) per maand:</v>
      </c>
      <c r="C271" s="178"/>
      <c r="D271" s="812">
        <f>AL121NBI_AP</f>
        <v>0</v>
      </c>
      <c r="E271" s="829">
        <f>AL121NBI_KA_AP</f>
        <v>0</v>
      </c>
      <c r="F271" s="812">
        <f>F247</f>
        <v>0</v>
      </c>
      <c r="G271" s="812">
        <f>AL121NBI_AG</f>
        <v>0</v>
      </c>
      <c r="H271" s="1133">
        <f>AL121NBI_KA_AG</f>
        <v>0</v>
      </c>
      <c r="I271" s="1133">
        <f>I247</f>
        <v>0</v>
      </c>
      <c r="J271" s="1539"/>
      <c r="K271" s="59">
        <v>271</v>
      </c>
      <c r="M271" s="829">
        <f>M247</f>
        <v>0</v>
      </c>
      <c r="N271" s="812">
        <f>N247</f>
        <v>0</v>
      </c>
    </row>
    <row r="272" spans="1:14" ht="15.75" thickBot="1" x14ac:dyDescent="0.3">
      <c r="A272" s="1290"/>
      <c r="B272" s="375" t="str">
        <f>B268</f>
        <v>Draagkrachtloos inkomen:</v>
      </c>
      <c r="C272" s="183"/>
      <c r="D272" s="814">
        <f>AL135_Draagkrachtloos_AP</f>
        <v>1260</v>
      </c>
      <c r="E272" s="828">
        <f>E268</f>
        <v>1823</v>
      </c>
      <c r="F272" s="814">
        <f>F268</f>
        <v>1823</v>
      </c>
      <c r="G272" s="814">
        <f>AL135_Draagkrachtloos_AG</f>
        <v>1260</v>
      </c>
      <c r="H272" s="1139">
        <f>H268</f>
        <v>1823</v>
      </c>
      <c r="I272" s="1139">
        <f>I268</f>
        <v>1823</v>
      </c>
      <c r="J272" s="1531"/>
      <c r="K272" s="152">
        <v>272</v>
      </c>
      <c r="M272" s="828">
        <f>M268</f>
        <v>563</v>
      </c>
      <c r="N272" s="814">
        <f>N268</f>
        <v>1823</v>
      </c>
    </row>
    <row r="273" spans="1:14" ht="16.5" thickBot="1" x14ac:dyDescent="0.3">
      <c r="A273" s="162">
        <v>136</v>
      </c>
      <c r="B273" s="165" t="s">
        <v>294</v>
      </c>
      <c r="C273" s="172"/>
      <c r="D273" s="811">
        <f t="shared" ref="D273:I273" si="40">D247-D268</f>
        <v>-1260</v>
      </c>
      <c r="E273" s="1699">
        <f t="shared" si="40"/>
        <v>-1823</v>
      </c>
      <c r="F273" s="811">
        <f t="shared" si="40"/>
        <v>-1823</v>
      </c>
      <c r="G273" s="1171">
        <f t="shared" si="40"/>
        <v>-1260</v>
      </c>
      <c r="H273" s="1587">
        <f t="shared" si="40"/>
        <v>-1823</v>
      </c>
      <c r="I273" s="1587">
        <f t="shared" si="40"/>
        <v>-1823</v>
      </c>
      <c r="J273" s="1602" t="s">
        <v>220</v>
      </c>
      <c r="K273" s="2001">
        <v>273</v>
      </c>
      <c r="M273" s="1699">
        <f>M247-M268</f>
        <v>-563</v>
      </c>
      <c r="N273" s="1171">
        <f>N247-N268</f>
        <v>-1823</v>
      </c>
    </row>
    <row r="274" spans="1:14" ht="15.75" outlineLevel="1" thickBot="1" x14ac:dyDescent="0.3">
      <c r="A274" s="2097"/>
      <c r="B274" s="2487"/>
      <c r="C274" s="2531"/>
      <c r="E274" s="1626"/>
      <c r="F274" s="1626"/>
      <c r="G274" s="1700">
        <f>(G271-(G272-G252+I252))*G275</f>
        <v>-756</v>
      </c>
      <c r="H274" s="1626"/>
      <c r="I274" s="1626"/>
      <c r="J274" s="1549"/>
      <c r="K274" s="1720">
        <v>274</v>
      </c>
      <c r="M274" s="1626"/>
      <c r="N274" s="2316"/>
    </row>
    <row r="275" spans="1:14" ht="60" customHeight="1" outlineLevel="1" thickBot="1" x14ac:dyDescent="0.3">
      <c r="A275" s="1192"/>
      <c r="B275" s="1701" t="s">
        <v>523</v>
      </c>
      <c r="C275" s="171"/>
      <c r="D275" s="2512">
        <f>Basisgegevens!$C$228</f>
        <v>0.6</v>
      </c>
      <c r="E275" s="1702">
        <f>Basisgegevens!$E$228</f>
        <v>0.7</v>
      </c>
      <c r="F275" s="2513">
        <f>Basisgegevens!$E$228</f>
        <v>0.7</v>
      </c>
      <c r="G275" s="2512">
        <f>Basisgegevens!$D$228</f>
        <v>0.6</v>
      </c>
      <c r="H275" s="1703">
        <f>Basisgegevens!$E$228</f>
        <v>0.7</v>
      </c>
      <c r="I275" s="1703">
        <f>Basisgegevens!$E$228</f>
        <v>0.7</v>
      </c>
      <c r="J275" s="80" t="str">
        <f>"Draagkrachtpercentage = "&amp;Basisgegevens!C228*100&amp;"% bijeen alleenstaande onderhouds-plichtige of 45% bij onderhoudsplichtige met een (nieuw) gezin. Voor kinderalimentatie is dit "&amp;Basisgegevens!E228*100&amp;"%).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K275" s="298">
        <v>275</v>
      </c>
      <c r="M275" s="1702">
        <f>Basisgegevens!$E$228</f>
        <v>0.7</v>
      </c>
      <c r="N275" s="2317">
        <f>Basisgegevens!$E$228</f>
        <v>0.7</v>
      </c>
    </row>
    <row r="276" spans="1:14" ht="15.75" outlineLevel="1" thickBot="1" x14ac:dyDescent="0.3">
      <c r="A276" s="1598"/>
      <c r="B276" s="99"/>
      <c r="C276" s="1599"/>
      <c r="D276" s="1580"/>
      <c r="E276" s="2514"/>
      <c r="F276" s="2514"/>
      <c r="G276" s="1580"/>
      <c r="H276" s="2514"/>
      <c r="I276" s="2514"/>
      <c r="J276" s="2085"/>
      <c r="K276" s="1097">
        <v>276</v>
      </c>
      <c r="M276" s="1705"/>
      <c r="N276" s="2318"/>
    </row>
    <row r="277" spans="1:14" ht="21.75" outlineLevel="1" thickBot="1" x14ac:dyDescent="0.3">
      <c r="A277" s="1730"/>
      <c r="B277" s="1665" t="s">
        <v>57</v>
      </c>
      <c r="C277" s="1731"/>
      <c r="D277" s="1732"/>
      <c r="E277" s="1733"/>
      <c r="F277" s="1733"/>
      <c r="G277" s="1732"/>
      <c r="H277" s="1733"/>
      <c r="I277" s="1733"/>
      <c r="J277" s="1734"/>
      <c r="K277" s="1998">
        <v>277</v>
      </c>
      <c r="M277" s="1733"/>
      <c r="N277" s="2319"/>
    </row>
    <row r="278" spans="1:14" ht="30" customHeight="1" outlineLevel="1" x14ac:dyDescent="0.25">
      <c r="A278" s="1286">
        <v>137</v>
      </c>
      <c r="B278" s="1704" t="s">
        <v>243</v>
      </c>
      <c r="C278" s="178" t="s">
        <v>73</v>
      </c>
      <c r="D278" s="812">
        <f>D275*D273</f>
        <v>-756</v>
      </c>
      <c r="E278" s="812">
        <f>IF(BG122_DraagkrachtKA_AP&gt;0.01,BG122_DraagkrachtKA_AP,E275*E273)</f>
        <v>-1276.0999999999999</v>
      </c>
      <c r="F278" s="278">
        <f>IF(BG122_DraagkrachtKA_AP_Z_KGB&gt;0.01,BG122_DraagkrachtKA_AP_Z_KGB,F275*F273)</f>
        <v>-1276.0999999999999</v>
      </c>
      <c r="G278" s="812">
        <f>G275*G273</f>
        <v>-756</v>
      </c>
      <c r="H278" s="812">
        <f>IF(BG122_DraagkrachtKA_AG&gt;0.01,BG122_DraagkrachtKA_AG,H275*H273)</f>
        <v>-1276.0999999999999</v>
      </c>
      <c r="I278" s="812">
        <f>IF(BG122_DraagkrachtKA_AG_Z_KGB&gt;0.01,BG122_DraagkrachtKA_AG_Z_KGB,I275*I273)</f>
        <v>-1276.0999999999999</v>
      </c>
      <c r="J278" s="1539" t="str">
        <f>"Als het NBI onder de draagkracht komt a € "&amp;Basisgegevens!$E274&amp;" (Werkend) of  € "&amp;Basisgegevens!$E284&amp;" (AOW) dan geldt het bedrag uit de draagkrachttabel"</f>
        <v>Als het NBI onder de draagkracht komt a € 2125 (Werkend) of  € 2300 (AOW) dan geldt het bedrag uit de draagkrachttabel</v>
      </c>
      <c r="K278" s="59">
        <v>278</v>
      </c>
      <c r="M278" s="812">
        <f>IF(BG122_DraagkrachtKA_AP&gt;0.01,BG122_DraagkrachtKA_AP,M275*M273)</f>
        <v>-394.09999999999997</v>
      </c>
      <c r="N278" s="812">
        <f>IF(BG122_DraagkrachtKA_AG&gt;0.01,BG122_DraagkrachtKA_AG,N275*N273)</f>
        <v>-1276.0999999999999</v>
      </c>
    </row>
    <row r="279" spans="1:14" outlineLevel="1" x14ac:dyDescent="0.25">
      <c r="A279" s="1287" t="s">
        <v>461</v>
      </c>
      <c r="B279" s="91" t="s">
        <v>976</v>
      </c>
      <c r="C279" s="176" t="s">
        <v>68</v>
      </c>
      <c r="D279" s="280">
        <v>0</v>
      </c>
      <c r="E279" s="1162">
        <f>D279</f>
        <v>0</v>
      </c>
      <c r="F279" s="1165">
        <f>D279</f>
        <v>0</v>
      </c>
      <c r="G279" s="280">
        <v>0</v>
      </c>
      <c r="H279" s="1162">
        <f>G279</f>
        <v>0</v>
      </c>
      <c r="I279" s="1162">
        <f>G279</f>
        <v>0</v>
      </c>
      <c r="J279" s="1530"/>
      <c r="K279" s="58">
        <v>279</v>
      </c>
      <c r="M279" s="1162">
        <f>L279</f>
        <v>0</v>
      </c>
      <c r="N279" s="1165">
        <f>G279</f>
        <v>0</v>
      </c>
    </row>
    <row r="280" spans="1:14" ht="30" outlineLevel="1" x14ac:dyDescent="0.25">
      <c r="A280" s="1287">
        <v>138</v>
      </c>
      <c r="B280" s="73" t="s">
        <v>52</v>
      </c>
      <c r="C280" s="176" t="s">
        <v>68</v>
      </c>
      <c r="D280" s="280">
        <v>0</v>
      </c>
      <c r="E280" s="2989" t="s">
        <v>242</v>
      </c>
      <c r="F280" s="2992" t="s">
        <v>242</v>
      </c>
      <c r="G280" s="280">
        <v>0</v>
      </c>
      <c r="H280" s="2989" t="s">
        <v>242</v>
      </c>
      <c r="I280" s="2989" t="s">
        <v>242</v>
      </c>
      <c r="J280" s="1530" t="s">
        <v>221</v>
      </c>
      <c r="K280" s="58">
        <v>280</v>
      </c>
      <c r="M280" s="2989" t="s">
        <v>242</v>
      </c>
      <c r="N280" s="2992" t="s">
        <v>242</v>
      </c>
    </row>
    <row r="281" spans="1:14" outlineLevel="1" x14ac:dyDescent="0.25">
      <c r="A281" s="1290">
        <v>138</v>
      </c>
      <c r="B281" s="83" t="str">
        <f>CONCATENATE("VEW: Hypotheekrente betaald voor ",Basisgegevens!D$4," (= Kolom E) / ",Basisgegevens!C$4," (= Kolom G)")</f>
        <v>VEW: Hypotheekrente betaald voor A. Gerechtigd (= Kolom E) / A. Plichtig (= Kolom G)</v>
      </c>
      <c r="C281" s="176" t="s">
        <v>68</v>
      </c>
      <c r="D281" s="814">
        <f>Basisgegevens!E201</f>
        <v>0</v>
      </c>
      <c r="E281" s="2989"/>
      <c r="F281" s="2992"/>
      <c r="G281" s="814">
        <f>Basisgegevens!F202</f>
        <v>0</v>
      </c>
      <c r="H281" s="2989"/>
      <c r="I281" s="2989"/>
      <c r="J281" s="1531"/>
      <c r="K281" s="152">
        <v>281</v>
      </c>
      <c r="M281" s="2989"/>
      <c r="N281" s="2992"/>
    </row>
    <row r="282" spans="1:14" outlineLevel="1" x14ac:dyDescent="0.25">
      <c r="A282" s="1290">
        <v>138</v>
      </c>
      <c r="B282" s="83" t="str">
        <f>CONCATENATE("VEW: Hypotheekaflossing betaald voor ",Basisgegevens!D$4," (= Kolom E) / ",Basisgegevens!C$4," (= Kolom G)")</f>
        <v>VEW: Hypotheekaflossing betaald voor A. Gerechtigd (= Kolom E) / A. Plichtig (= Kolom G)</v>
      </c>
      <c r="C282" s="176" t="s">
        <v>68</v>
      </c>
      <c r="D282" s="814">
        <f>Basisgegevens!E204</f>
        <v>0</v>
      </c>
      <c r="E282" s="2989"/>
      <c r="F282" s="2992"/>
      <c r="G282" s="814">
        <f>Basisgegevens!F205</f>
        <v>0</v>
      </c>
      <c r="H282" s="2989"/>
      <c r="I282" s="2989"/>
      <c r="J282" s="1531"/>
      <c r="K282" s="152">
        <v>282</v>
      </c>
      <c r="M282" s="2989"/>
      <c r="N282" s="2992"/>
    </row>
    <row r="283" spans="1:14" outlineLevel="1" x14ac:dyDescent="0.25">
      <c r="A283" s="2508">
        <f>Basisgegevens!L194</f>
        <v>138</v>
      </c>
      <c r="B283" s="46" t="str">
        <f>"OEW: Hypotheek"&amp;LOWER(Basisgegevens!M194)</f>
        <v>OEW: Hypotheekrente betaald voor ex. partner als partneralimentatie</v>
      </c>
      <c r="C283" s="2509" t="s">
        <v>68</v>
      </c>
      <c r="D283" s="814">
        <f>IF(BGOEWRekenModule="Nee",0,BGOEW138RentePA_AP/12)</f>
        <v>0</v>
      </c>
      <c r="E283" s="2989"/>
      <c r="F283" s="2992"/>
      <c r="G283" s="814">
        <f>IF(BGOEWRekenModule="Nee",0,BGOEW138RentePA_AG/12)</f>
        <v>0</v>
      </c>
      <c r="H283" s="2989"/>
      <c r="I283" s="2989"/>
      <c r="J283" s="1531"/>
      <c r="K283" s="152">
        <v>283</v>
      </c>
      <c r="M283" s="2989"/>
      <c r="N283" s="2992"/>
    </row>
    <row r="284" spans="1:14" outlineLevel="1" x14ac:dyDescent="0.25">
      <c r="A284" s="1290">
        <v>138</v>
      </c>
      <c r="B284" s="2510" t="s">
        <v>977</v>
      </c>
      <c r="C284" s="176" t="s">
        <v>68</v>
      </c>
      <c r="D284" s="814">
        <f>IF(BGOEWRekenModule="Nee",0,IF(AND(BGOEWRekenModule="Ja",BGOEWAflossing=BGPartner_AP),Basisgegevens!C175/2+Basisgegevens!F188,IF(AND(BGOEWRekenModule="Ja",BGOEWAflossing=Keuzelijsten!$R$4),Basisgegevens!F188,0)))</f>
        <v>0</v>
      </c>
      <c r="E284" s="2989"/>
      <c r="F284" s="2992"/>
      <c r="G284" s="814">
        <f>IF(BGOEWRekenModule="Nee",0,IF(AND(BGOEWRekenModule="Ja",BGOEWAflossing=BGPartner_AG),Basisgegevens!C175/2+Basisgegevens!E188,IF(AND(BGOEWRekenModule="Ja",BGOEWAflossing=Keuzelijsten!$R$4),Basisgegevens!E188,0)))</f>
        <v>0</v>
      </c>
      <c r="H284" s="2989"/>
      <c r="I284" s="2989"/>
      <c r="J284" s="1531"/>
      <c r="K284" s="152">
        <v>284</v>
      </c>
      <c r="M284" s="2989"/>
      <c r="N284" s="2992"/>
    </row>
    <row r="285" spans="1:14" ht="30.75" outlineLevel="1" thickBot="1" x14ac:dyDescent="0.3">
      <c r="A285" s="1290">
        <v>139</v>
      </c>
      <c r="B285" s="376" t="s">
        <v>525</v>
      </c>
      <c r="C285" s="183" t="s">
        <v>73</v>
      </c>
      <c r="D285" s="814">
        <f>IF(D280+D283=0,0,IF(AL94VerzInkomen_AP+((D280+D283)*12)-BGBelastingbedragSchijf3&lt;=0,(((D280+D283)*12)*Basisgegevens!$O$15)/12,IF(AL94VerzInkomen_AP+((D280+D283)*12)&lt;BGBelastingbedragSchijf3+((D280+D283)*12),(((BGBelastingbedragSchijf3-AL94VerzInkomen_AP)*Basisgegevens!$O$15)+((AL94VerzInkomen_AP+((D280+D283)*12)-BGBelastingbedragSchijf3)*BGBelastingTariefBeperking))/12,(D280+D283)*BGBelastingTariefBeperking)))</f>
        <v>0</v>
      </c>
      <c r="E285" s="2990"/>
      <c r="F285" s="2996"/>
      <c r="G285" s="814">
        <f>IF(G280+G283=0,0,IF(AL94VerzInkomen_AG+((G280+G283)*12)-BGBelastingbedragSchijf3&lt;=0,(((G280+G283)*12)*Basisgegevens!$O$15)/12,IF(AL94VerzInkomen_AG+((G280+G283)*12)&lt;BGBelastingbedragSchijf3+((G280+G283)*12),(((BGBelastingbedragSchijf3-AL94VerzInkomen_AG)*Basisgegevens!$O$15)+((AL94VerzInkomen_AG+((G280+G283)*12)-BGBelastingbedragSchijf3)*BGBelastingTariefBeperking))/12, (G280+G283)*BGBelastingTariefBeperking)))</f>
        <v>0</v>
      </c>
      <c r="H285" s="2991"/>
      <c r="I285" s="2991"/>
      <c r="J285" s="1531" t="s">
        <v>371</v>
      </c>
      <c r="K285" s="152">
        <v>285</v>
      </c>
      <c r="M285" s="2990"/>
      <c r="N285" s="2993"/>
    </row>
    <row r="286" spans="1:14" ht="63" customHeight="1" thickBot="1" x14ac:dyDescent="0.3">
      <c r="A286" s="162">
        <v>140</v>
      </c>
      <c r="B286" s="164" t="s">
        <v>752</v>
      </c>
      <c r="C286" s="1289"/>
      <c r="D286" s="2411">
        <f>IF(D278-SUM(D279:D284)+D285&lt;=0.01,0,D278-SUM(D279:D284)+D285)</f>
        <v>0</v>
      </c>
      <c r="E286" s="1171">
        <f>SUM(E278:E279)</f>
        <v>-1276.0999999999999</v>
      </c>
      <c r="F286" s="1171">
        <f>SUM(F278:F279)</f>
        <v>-1276.0999999999999</v>
      </c>
      <c r="G286" s="1171">
        <f>IF(G278-SUM(G279:G284)+G285&lt;=0.01,0,G278-SUM(G279:G284)+G285)</f>
        <v>0</v>
      </c>
      <c r="H286" s="1171">
        <f>SUM(H278:H279)</f>
        <v>-1276.0999999999999</v>
      </c>
      <c r="I286" s="1171">
        <f>SUM(I278:I279)</f>
        <v>-1276.0999999999999</v>
      </c>
      <c r="J286" s="1588" t="s">
        <v>788</v>
      </c>
      <c r="K286" s="2001">
        <v>286</v>
      </c>
      <c r="M286" s="1171">
        <f>SUM(M278:M279)</f>
        <v>-394.09999999999997</v>
      </c>
      <c r="N286" s="811">
        <f>SUM(N278:N279)</f>
        <v>-1276.0999999999999</v>
      </c>
    </row>
    <row r="287" spans="1:14" ht="15.75" thickBot="1" x14ac:dyDescent="0.3">
      <c r="A287" s="1607"/>
      <c r="B287" s="2518"/>
      <c r="C287" s="2527"/>
      <c r="D287" s="2507" t="str">
        <f t="shared" ref="D287:F287" si="41">IF(D286&lt;=0,"Geen PA beschikbaar","")</f>
        <v>Geen PA beschikbaar</v>
      </c>
      <c r="E287" s="422" t="str">
        <f t="shared" si="41"/>
        <v>Geen PA beschikbaar</v>
      </c>
      <c r="F287" s="422" t="str">
        <f t="shared" si="41"/>
        <v>Geen PA beschikbaar</v>
      </c>
      <c r="G287" s="422" t="str">
        <f>IF(G286&lt;=0,"Geen PA beschikbaar","")</f>
        <v>Geen PA beschikbaar</v>
      </c>
      <c r="H287" s="422" t="str">
        <f t="shared" ref="H287:I287" si="42">IF(H286&lt;=0,"Geen PA beschikbaar","")</f>
        <v>Geen PA beschikbaar</v>
      </c>
      <c r="I287" s="422" t="str">
        <f t="shared" si="42"/>
        <v>Geen PA beschikbaar</v>
      </c>
      <c r="J287" s="2085"/>
      <c r="K287" s="147">
        <v>287</v>
      </c>
    </row>
    <row r="288" spans="1:14" ht="15.75" outlineLevel="1" thickBot="1" x14ac:dyDescent="0.3">
      <c r="B288" s="2511" t="s">
        <v>1126</v>
      </c>
      <c r="C288" s="2517"/>
      <c r="D288" s="2516">
        <f>(D271-(D272-D252+F252))*D275</f>
        <v>-756</v>
      </c>
      <c r="G288" s="2515">
        <f>(G271-(G272-G252+I252))*G275</f>
        <v>-756</v>
      </c>
      <c r="J288" s="2525" t="s">
        <v>1127</v>
      </c>
      <c r="K288" s="152">
        <v>288</v>
      </c>
    </row>
    <row r="289" spans="1:11" ht="15.75" outlineLevel="1" thickBot="1" x14ac:dyDescent="0.3">
      <c r="B289" s="2511"/>
      <c r="C289" s="2517"/>
      <c r="D289" s="2521">
        <f>IF(AL136_Draagkracht_AP_Z_KGB-SUM(D279:D284)+D285&lt;=0.01,0,AL136_Draagkracht_AP_Z_KGB-SUM(D279:D284)+D285)</f>
        <v>0</v>
      </c>
      <c r="G289" s="2522">
        <f>IF(AL136_Draagkracht_AG_Z_KGB-SUM(G279:G284)+G285&lt;=0.01,0,AL136_Draagkracht_AG_Z_KGB-SUM(G279:G284)+G285)</f>
        <v>0</v>
      </c>
      <c r="J289" s="2526" t="s">
        <v>1128</v>
      </c>
      <c r="K289" s="152">
        <v>289</v>
      </c>
    </row>
    <row r="290" spans="1:11" ht="32.25" thickBot="1" x14ac:dyDescent="0.3">
      <c r="A290" s="2520"/>
      <c r="B290" s="2519" t="s">
        <v>3</v>
      </c>
      <c r="C290" s="2528"/>
      <c r="D290" s="2523" t="s">
        <v>1121</v>
      </c>
      <c r="E290" s="2554"/>
      <c r="F290" s="2470" t="s">
        <v>1119</v>
      </c>
      <c r="G290" s="2470" t="s">
        <v>1121</v>
      </c>
      <c r="H290" s="2554"/>
      <c r="I290" s="2470" t="s">
        <v>1119</v>
      </c>
      <c r="J290" s="2524"/>
      <c r="K290" s="1998">
        <v>290</v>
      </c>
    </row>
    <row r="291" spans="1:11" outlineLevel="1" x14ac:dyDescent="0.25">
      <c r="A291" s="1310">
        <v>141</v>
      </c>
      <c r="B291" s="1363" t="s">
        <v>4</v>
      </c>
      <c r="C291" s="178" t="s">
        <v>68</v>
      </c>
      <c r="D291" s="1071">
        <f>IF(Kinderalimentatie!O41&lt;0,0,Kinderalimentatie!O41)</f>
        <v>0</v>
      </c>
      <c r="E291" s="2555"/>
      <c r="F291" s="1071">
        <f>IF(Kinderalimentatie!AF41&lt;0,0,Kinderalimentatie!AF41)</f>
        <v>0</v>
      </c>
      <c r="G291" s="1071">
        <f>IF(Kinderalimentatie!S41&lt;0,0,Kinderalimentatie!S41)</f>
        <v>0</v>
      </c>
      <c r="H291" s="2555"/>
      <c r="I291" s="1071">
        <f>IF(Kinderalimentatie!AJ41&lt;0,0,Kinderalimentatie!AJ41)</f>
        <v>0</v>
      </c>
      <c r="J291" s="1557" t="s">
        <v>288</v>
      </c>
      <c r="K291" s="1562">
        <v>291</v>
      </c>
    </row>
    <row r="292" spans="1:11" outlineLevel="1" x14ac:dyDescent="0.25">
      <c r="A292" s="1308" t="s">
        <v>463</v>
      </c>
      <c r="B292" s="79" t="s">
        <v>85</v>
      </c>
      <c r="C292" s="189"/>
      <c r="D292" s="806">
        <f>IF(Kinderalimentatie!O41&lt;0,Kinderalimentatie!O41+Kinderalimentatie!N41,Kinderalimentatie!N41)</f>
        <v>0</v>
      </c>
      <c r="E292" s="2430"/>
      <c r="F292" s="806">
        <f>IF(Kinderalimentatie!AF41&lt;0,Kinderalimentatie!AF41+Kinderalimentatie!AE41,Kinderalimentatie!AE41)</f>
        <v>0</v>
      </c>
      <c r="G292" s="806">
        <f>IF(Kinderalimentatie!S41&lt;0,Kinderalimentatie!S41+Kinderalimentatie!R41,Kinderalimentatie!R41)</f>
        <v>0</v>
      </c>
      <c r="H292" s="2430"/>
      <c r="I292" s="806">
        <f>IF(Kinderalimentatie!AJ41&lt;0,Kinderalimentatie!AJ41+Kinderalimentatie!AI41,Kinderalimentatie!AI41)</f>
        <v>0</v>
      </c>
      <c r="J292" s="1530"/>
      <c r="K292" s="1563">
        <v>292</v>
      </c>
    </row>
    <row r="293" spans="1:11" ht="15.75" outlineLevel="1" thickBot="1" x14ac:dyDescent="0.3">
      <c r="A293" s="1311" t="s">
        <v>462</v>
      </c>
      <c r="B293" s="376" t="s">
        <v>86</v>
      </c>
      <c r="C293" s="183"/>
      <c r="D293" s="1165">
        <f>IF(Kinderalimentatie!O41&lt;0,0,Kinderalimentatie!P41)</f>
        <v>0</v>
      </c>
      <c r="E293" s="2556"/>
      <c r="F293" s="1165">
        <f>IF(Kinderalimentatie!AF41&lt;0,0,Kinderalimentatie!AG41)</f>
        <v>0</v>
      </c>
      <c r="G293" s="1165">
        <f>IF(Kinderalimentatie!S41&lt;0,0,Kinderalimentatie!T41)</f>
        <v>0</v>
      </c>
      <c r="H293" s="2556"/>
      <c r="I293" s="1165">
        <f>IF(Kinderalimentatie!AJ41&lt;0,0,Kinderalimentatie!AK41)</f>
        <v>0</v>
      </c>
      <c r="J293" s="1531"/>
      <c r="K293" s="1564">
        <v>293</v>
      </c>
    </row>
    <row r="294" spans="1:11" ht="16.5" thickBot="1" x14ac:dyDescent="0.3">
      <c r="A294" s="1309">
        <v>141</v>
      </c>
      <c r="B294" s="166" t="s">
        <v>529</v>
      </c>
      <c r="C294" s="182"/>
      <c r="D294" s="1575">
        <f>SUM(D291:D293)</f>
        <v>0</v>
      </c>
      <c r="E294" s="1575"/>
      <c r="F294" s="1575">
        <f>SUM(F291:F293)</f>
        <v>0</v>
      </c>
      <c r="G294" s="1575">
        <f>SUM(G291:G293)</f>
        <v>0</v>
      </c>
      <c r="H294" s="1575"/>
      <c r="I294" s="1575">
        <f>SUM(I291:I293)</f>
        <v>0</v>
      </c>
      <c r="J294" s="1558"/>
      <c r="K294" s="1565">
        <v>294</v>
      </c>
    </row>
    <row r="295" spans="1:11" outlineLevel="1" x14ac:dyDescent="0.25">
      <c r="A295" s="1290" t="s">
        <v>464</v>
      </c>
      <c r="B295" s="1706" t="s">
        <v>976</v>
      </c>
      <c r="C295" s="183"/>
      <c r="D295" s="280">
        <v>0</v>
      </c>
      <c r="E295" s="1515" t="s">
        <v>242</v>
      </c>
      <c r="F295" s="806">
        <f>D295</f>
        <v>0</v>
      </c>
      <c r="G295" s="280">
        <v>0</v>
      </c>
      <c r="H295" s="1515" t="s">
        <v>242</v>
      </c>
      <c r="I295" s="806">
        <f>G295</f>
        <v>0</v>
      </c>
      <c r="K295" s="152">
        <v>295</v>
      </c>
    </row>
    <row r="296" spans="1:11" ht="15.75" outlineLevel="1" thickBot="1" x14ac:dyDescent="0.3">
      <c r="A296" s="1707">
        <v>142</v>
      </c>
      <c r="B296" s="1708" t="s">
        <v>53</v>
      </c>
      <c r="C296" s="1709"/>
      <c r="D296" s="1710">
        <v>0</v>
      </c>
      <c r="E296" s="1710">
        <v>0</v>
      </c>
      <c r="F296" s="1710">
        <v>0</v>
      </c>
      <c r="G296" s="1710">
        <v>0</v>
      </c>
      <c r="H296" s="2557">
        <v>0</v>
      </c>
      <c r="I296" s="2557">
        <v>0</v>
      </c>
      <c r="J296" s="1711" t="s">
        <v>204</v>
      </c>
      <c r="K296" s="2028">
        <v>296</v>
      </c>
    </row>
    <row r="297" spans="1:11" ht="16.5" thickBot="1" x14ac:dyDescent="0.3">
      <c r="A297" s="1305">
        <v>143</v>
      </c>
      <c r="B297" s="1185" t="s">
        <v>978</v>
      </c>
      <c r="C297" s="1574"/>
      <c r="D297" s="811">
        <f>IF($D286-D294-$D295&lt;=0.01,0,$D286-D294-$D295)</f>
        <v>0</v>
      </c>
      <c r="E297" s="837"/>
      <c r="F297" s="811">
        <f>IF($D289-F294-$D295&lt;=0.01,0,$D289-F294-$D295)</f>
        <v>0</v>
      </c>
      <c r="G297" s="811">
        <f>IF($G286-G294-$G295&lt;=0.01,0,$G286-G294-$G295)</f>
        <v>0</v>
      </c>
      <c r="H297" s="837"/>
      <c r="I297" s="811">
        <f>IF($G289-I294-$G295&lt;=0.01,0,$G289-I294-$G295)</f>
        <v>0</v>
      </c>
      <c r="J297" s="1712" t="s">
        <v>222</v>
      </c>
      <c r="K297" s="2001">
        <v>297</v>
      </c>
    </row>
    <row r="298" spans="1:11" ht="16.5" thickBot="1" x14ac:dyDescent="0.3">
      <c r="A298" s="1604"/>
      <c r="B298" s="1713"/>
      <c r="C298" s="1605"/>
      <c r="D298" s="422" t="str">
        <f>IF(D297&lt;=0,"Geen PA beschikbaar","--")</f>
        <v>Geen PA beschikbaar</v>
      </c>
      <c r="E298" s="1072"/>
      <c r="F298" s="1072"/>
      <c r="G298" s="422" t="str">
        <f>IF(G297&lt;=0,"Geen PA beschikbaar","--")</f>
        <v>Geen PA beschikbaar</v>
      </c>
      <c r="H298" s="1072"/>
      <c r="I298" s="1072"/>
      <c r="J298" s="1612"/>
      <c r="K298" s="1097">
        <v>298</v>
      </c>
    </row>
    <row r="299" spans="1:11" ht="16.5" thickBot="1" x14ac:dyDescent="0.3">
      <c r="A299" s="2435"/>
      <c r="B299" s="2436"/>
      <c r="F299" s="811" t="s">
        <v>1120</v>
      </c>
      <c r="I299" s="811" t="s">
        <v>1120</v>
      </c>
      <c r="J299" s="1785"/>
      <c r="K299" s="324">
        <v>299</v>
      </c>
    </row>
    <row r="300" spans="1:11" ht="32.25" thickBot="1" x14ac:dyDescent="0.3">
      <c r="A300" s="2438"/>
      <c r="B300" s="2439" t="s">
        <v>343</v>
      </c>
      <c r="C300" s="1630"/>
      <c r="D300" s="2471" t="s">
        <v>1122</v>
      </c>
      <c r="E300" s="853"/>
      <c r="F300" s="2471" t="s">
        <v>1118</v>
      </c>
      <c r="G300" s="2471" t="s">
        <v>1122</v>
      </c>
      <c r="H300" s="2476"/>
      <c r="I300" s="2472" t="s">
        <v>1118</v>
      </c>
      <c r="J300" s="2477"/>
      <c r="K300" s="2434">
        <v>300</v>
      </c>
    </row>
    <row r="301" spans="1:11" ht="15.75" x14ac:dyDescent="0.25">
      <c r="A301" s="1286"/>
      <c r="B301" s="2437" t="str">
        <f>B129</f>
        <v>Belastbaar verzamelinkomen uit werk en woning (a t/m h) (Box I):</v>
      </c>
      <c r="C301" s="179"/>
      <c r="D301" s="812">
        <f>D129</f>
        <v>0</v>
      </c>
      <c r="E301" s="2070"/>
      <c r="F301" s="278">
        <f>F129</f>
        <v>0</v>
      </c>
      <c r="G301" s="278">
        <f>G129</f>
        <v>0</v>
      </c>
      <c r="H301" s="1764"/>
      <c r="I301" s="278">
        <f>I129</f>
        <v>0</v>
      </c>
      <c r="J301" s="2478"/>
      <c r="K301" s="24">
        <v>301</v>
      </c>
    </row>
    <row r="302" spans="1:11" ht="16.5" thickBot="1" x14ac:dyDescent="0.3">
      <c r="A302" s="1290"/>
      <c r="B302" s="378" t="str">
        <f>B134</f>
        <v>Inkomensheffing Box 1:</v>
      </c>
      <c r="C302" s="138"/>
      <c r="D302" s="814">
        <f>D134</f>
        <v>0</v>
      </c>
      <c r="E302" s="2070"/>
      <c r="F302" s="814">
        <f>F134</f>
        <v>0</v>
      </c>
      <c r="G302" s="814">
        <f>G130</f>
        <v>0</v>
      </c>
      <c r="H302" s="1764"/>
      <c r="I302" s="814">
        <f>I130</f>
        <v>0</v>
      </c>
      <c r="J302" s="2479"/>
      <c r="K302" s="152">
        <v>302</v>
      </c>
    </row>
    <row r="303" spans="1:11" ht="16.5" thickBot="1" x14ac:dyDescent="0.3">
      <c r="A303" s="1289"/>
      <c r="B303" s="164" t="s">
        <v>341</v>
      </c>
      <c r="C303" s="172"/>
      <c r="D303" s="811">
        <f>D301-D302</f>
        <v>0</v>
      </c>
      <c r="E303" s="1191"/>
      <c r="F303" s="811">
        <f>F301-F302</f>
        <v>0</v>
      </c>
      <c r="G303" s="1171">
        <f>G301-G302</f>
        <v>0</v>
      </c>
      <c r="H303" s="2474"/>
      <c r="I303" s="1171">
        <f>I301-I302</f>
        <v>0</v>
      </c>
      <c r="J303" s="2480"/>
      <c r="K303" s="538">
        <v>303</v>
      </c>
    </row>
    <row r="304" spans="1:11" ht="32.25" thickBot="1" x14ac:dyDescent="0.3">
      <c r="A304" s="1291"/>
      <c r="B304" s="627" t="str">
        <f>CONCATENATE("Is het belastbaar inkomen minus de inkomensheffing (a € ",ROUND(D303,0),") lager is dan de in 143 (a € ",ROUND((D297),0),") berekende alimentatie?")</f>
        <v>Is het belastbaar inkomen minus de inkomensheffing (a € 0) lager is dan de in 143 (a € 0) berekende alimentatie?</v>
      </c>
      <c r="C304" s="180"/>
      <c r="D304" s="1166" t="str">
        <f>IF(D297&lt;=0,"n.v.t",IF(D303&gt;D297,"Loopt via 144","Loopt via 145/146"))</f>
        <v>n.v.t</v>
      </c>
      <c r="E304" s="2473"/>
      <c r="F304" s="1166" t="str">
        <f>IF(F297&lt;=0,"n.v.t",IF(F303&gt;F297,"Loopt via 144","Loopt via 145/146"))</f>
        <v>n.v.t</v>
      </c>
      <c r="G304" s="1166" t="str">
        <f>IF(G297&lt;=0,"n.v.t",IF(G303&gt;G297,"Loopt via 144","Loopt via 145/146"))</f>
        <v>n.v.t</v>
      </c>
      <c r="H304" s="2475"/>
      <c r="I304" s="1166" t="str">
        <f>IF(I297&lt;=0,"n.v.t",IF(I303&gt;I297,"Loopt via 144","Loopt via 145/146"))</f>
        <v>n.v.t</v>
      </c>
      <c r="J304" s="2481"/>
      <c r="K304" s="147">
        <v>304</v>
      </c>
    </row>
    <row r="305" spans="1:11" ht="15.75" x14ac:dyDescent="0.25">
      <c r="A305" s="1286">
        <v>144</v>
      </c>
      <c r="B305" s="625" t="s">
        <v>418</v>
      </c>
      <c r="C305" s="626" t="s">
        <v>69</v>
      </c>
      <c r="D305" s="1167">
        <f>IF(OR(LEFT(D304,2)="Ja",D304="n.v.t"),0,D306/12)</f>
        <v>0</v>
      </c>
      <c r="E305" s="2070"/>
      <c r="F305" s="1167">
        <f>IF(OR(LEFT(F304,2)="Ja",F304="n.v.t"),0,F306/12)</f>
        <v>0</v>
      </c>
      <c r="G305" s="1167">
        <f>IF(OR(LEFT(G304,2)="Ja",G304="n.v.t"),0,G306/12)</f>
        <v>0</v>
      </c>
      <c r="H305" s="1764"/>
      <c r="I305" s="1167">
        <f>IF(OR(LEFT(I304,2)="Ja",I304="n.v.t"),0,I306/12)</f>
        <v>0</v>
      </c>
      <c r="J305" s="2482"/>
      <c r="K305" s="59">
        <v>305</v>
      </c>
    </row>
    <row r="306" spans="1:11" ht="15.75" x14ac:dyDescent="0.25">
      <c r="A306" s="1287"/>
      <c r="B306" s="624" t="s">
        <v>419</v>
      </c>
      <c r="C306" s="622" t="s">
        <v>69</v>
      </c>
      <c r="D306" s="1168">
        <f>IF(OR(LEFT(D304,2)="Ja",D304="n.v.t"),0,Basisgegevens!F363)</f>
        <v>0</v>
      </c>
      <c r="E306" s="2473"/>
      <c r="F306" s="1168">
        <f>Basisgegevens!F411</f>
        <v>0</v>
      </c>
      <c r="G306" s="1168">
        <f>IF(OR(LEFT(G304,2)="Ja",G304="n.v.t"),0,Basisgegevens!F386)</f>
        <v>0</v>
      </c>
      <c r="H306" s="2475"/>
      <c r="I306" s="1168">
        <f>Basisgegevens!F434</f>
        <v>0</v>
      </c>
      <c r="J306" s="2483"/>
      <c r="K306" s="58">
        <v>306</v>
      </c>
    </row>
    <row r="307" spans="1:11" ht="15.75" thickBot="1" x14ac:dyDescent="0.3">
      <c r="A307" s="1288"/>
      <c r="B307" s="623" t="s">
        <v>338</v>
      </c>
      <c r="C307" s="377"/>
      <c r="D307" s="1169" t="str">
        <f>IF(OR(LEFT(D304,2)="Ja",D304="n.v.t"),"Zelf te berekenen","n.v.t")</f>
        <v>Zelf te berekenen</v>
      </c>
      <c r="E307" s="2473"/>
      <c r="F307" s="1169" t="str">
        <f>IF(OR(LEFT(F304,2)="Ja",F304="n.v.t"),"Zelf te berekenen","n.v.t")</f>
        <v>Zelf te berekenen</v>
      </c>
      <c r="G307" s="1169" t="str">
        <f>IF(OR(LEFT(G304,2)="Ja",G304="n.v.t"),"Zelf te berekenen","n.v.t")</f>
        <v>Zelf te berekenen</v>
      </c>
      <c r="H307" s="2475"/>
      <c r="I307" s="1169" t="str">
        <f>IF(OR(LEFT(I304,2)="Ja",I304="n.v.t"),"Zelf te berekenen","n.v.t")</f>
        <v>Zelf te berekenen</v>
      </c>
      <c r="J307" s="2484"/>
      <c r="K307" s="26">
        <v>307</v>
      </c>
    </row>
    <row r="651" spans="1:11" x14ac:dyDescent="0.25">
      <c r="A651" s="70">
        <v>145</v>
      </c>
      <c r="B651" s="272" t="s">
        <v>338</v>
      </c>
      <c r="C651" s="69"/>
      <c r="D651" s="100"/>
      <c r="E651" s="339"/>
      <c r="F651" s="339"/>
      <c r="G651" s="342"/>
      <c r="H651" s="343"/>
      <c r="I651" s="343"/>
      <c r="J651" s="349"/>
      <c r="K651" s="25">
        <v>257</v>
      </c>
    </row>
    <row r="652" spans="1:11" x14ac:dyDescent="0.25">
      <c r="A652" s="70"/>
      <c r="B652" s="266" t="s">
        <v>339</v>
      </c>
      <c r="C652" s="262" t="s">
        <v>73</v>
      </c>
      <c r="D652" s="86">
        <f>IF(D297&lt;=0,0,D297)</f>
        <v>0</v>
      </c>
      <c r="E652" s="339"/>
      <c r="F652" s="339"/>
      <c r="G652" s="342"/>
      <c r="H652" s="343"/>
      <c r="I652" s="343"/>
      <c r="J652" s="349"/>
      <c r="K652" s="25">
        <v>258</v>
      </c>
    </row>
    <row r="653" spans="1:11" ht="16.5" thickBot="1" x14ac:dyDescent="0.3">
      <c r="A653" s="137"/>
      <c r="B653" s="378" t="str">
        <f>B134</f>
        <v>Inkomensheffing Box 1:</v>
      </c>
      <c r="C653" s="379" t="s">
        <v>73</v>
      </c>
      <c r="D653" s="293">
        <f>D302</f>
        <v>0</v>
      </c>
      <c r="E653" s="380"/>
      <c r="F653" s="380"/>
      <c r="G653" s="361"/>
      <c r="H653" s="381"/>
      <c r="I653" s="381"/>
      <c r="J653" s="362"/>
      <c r="K653" s="150">
        <v>259</v>
      </c>
    </row>
    <row r="654" spans="1:11" ht="16.5" thickBot="1" x14ac:dyDescent="0.3">
      <c r="A654" s="162"/>
      <c r="B654" s="164" t="s">
        <v>340</v>
      </c>
      <c r="C654" s="383" t="s">
        <v>73</v>
      </c>
      <c r="D654" s="384"/>
      <c r="E654" s="367">
        <f>SUM(D652:D653)</f>
        <v>0</v>
      </c>
      <c r="F654" s="367">
        <f>SUM(E652:E653)</f>
        <v>0</v>
      </c>
      <c r="G654" s="356"/>
      <c r="H654" s="368"/>
      <c r="I654" s="368"/>
      <c r="J654" s="372"/>
      <c r="K654" s="1988">
        <v>260</v>
      </c>
    </row>
    <row r="655" spans="1:11" x14ac:dyDescent="0.25">
      <c r="A655" s="81"/>
      <c r="B655" s="382"/>
      <c r="C655" s="274"/>
      <c r="D655" s="275"/>
      <c r="E655" s="364"/>
      <c r="F655" s="364"/>
      <c r="G655" s="358"/>
      <c r="H655" s="365"/>
      <c r="I655" s="365"/>
      <c r="J655" s="357"/>
      <c r="K655" s="61">
        <v>261</v>
      </c>
    </row>
    <row r="656" spans="1:11" x14ac:dyDescent="0.25">
      <c r="A656" s="70"/>
      <c r="B656" s="78"/>
      <c r="C656" s="69"/>
      <c r="D656" s="100"/>
      <c r="E656" s="339"/>
      <c r="F656" s="339"/>
      <c r="G656" s="342"/>
      <c r="H656" s="343"/>
      <c r="I656" s="343"/>
      <c r="J656" s="349"/>
      <c r="K656" s="25">
        <v>262</v>
      </c>
    </row>
    <row r="657" spans="1:11" x14ac:dyDescent="0.25">
      <c r="A657" s="70"/>
      <c r="B657" s="271" t="str">
        <f>B652</f>
        <v>Netto alimentatie per jaar:</v>
      </c>
      <c r="C657" s="267" t="s">
        <v>73</v>
      </c>
      <c r="D657" s="100"/>
      <c r="E657" s="347">
        <f>D652</f>
        <v>0</v>
      </c>
      <c r="F657" s="347">
        <f>E652</f>
        <v>0</v>
      </c>
      <c r="G657" s="342"/>
      <c r="H657" s="343"/>
      <c r="I657" s="343"/>
      <c r="J657" s="349"/>
      <c r="K657" s="25">
        <v>263</v>
      </c>
    </row>
    <row r="658" spans="1:11" x14ac:dyDescent="0.25">
      <c r="A658" s="70"/>
      <c r="B658" s="271" t="str">
        <f>B301</f>
        <v>Belastbaar verzamelinkomen uit werk en woning (a t/m h) (Box I):</v>
      </c>
      <c r="C658" s="69"/>
      <c r="D658" s="86">
        <f>D301</f>
        <v>0</v>
      </c>
      <c r="E658" s="339"/>
      <c r="F658" s="339"/>
      <c r="G658" s="342"/>
      <c r="H658" s="343"/>
      <c r="I658" s="343"/>
      <c r="J658" s="349"/>
      <c r="K658" s="25">
        <v>264</v>
      </c>
    </row>
    <row r="659" spans="1:11" x14ac:dyDescent="0.25">
      <c r="A659" s="70"/>
      <c r="B659" s="271" t="str">
        <f>B302</f>
        <v>Inkomensheffing Box 1:</v>
      </c>
      <c r="C659" s="262" t="s">
        <v>68</v>
      </c>
      <c r="D659" s="86">
        <f>D302</f>
        <v>0</v>
      </c>
      <c r="E659" s="339"/>
      <c r="F659" s="339"/>
      <c r="G659" s="342"/>
      <c r="H659" s="343"/>
      <c r="I659" s="343"/>
      <c r="J659" s="349"/>
      <c r="K659" s="25">
        <v>265</v>
      </c>
    </row>
    <row r="660" spans="1:11" ht="15.75" x14ac:dyDescent="0.25">
      <c r="A660" s="334"/>
      <c r="B660" s="270" t="str">
        <f>B303</f>
        <v xml:space="preserve">Na aftrek inkomensheffing BOX I: </v>
      </c>
      <c r="C660" s="268"/>
      <c r="D660" s="269"/>
      <c r="E660" s="345">
        <f>D303</f>
        <v>0</v>
      </c>
      <c r="F660" s="345">
        <f>E303</f>
        <v>0</v>
      </c>
      <c r="G660" s="341"/>
      <c r="H660" s="344"/>
      <c r="I660" s="344"/>
      <c r="J660" s="351"/>
      <c r="K660" s="1989">
        <v>266</v>
      </c>
    </row>
    <row r="661" spans="1:11" x14ac:dyDescent="0.25">
      <c r="A661" s="70"/>
      <c r="B661" s="266"/>
      <c r="C661" s="69"/>
      <c r="D661" s="294" t="s">
        <v>342</v>
      </c>
      <c r="E661" s="346">
        <f>E657-E660</f>
        <v>0</v>
      </c>
      <c r="F661" s="346">
        <f>F657-F660</f>
        <v>0</v>
      </c>
      <c r="G661" s="342"/>
      <c r="H661" s="343"/>
      <c r="I661" s="343"/>
      <c r="J661" s="349"/>
      <c r="K661" s="25">
        <v>267</v>
      </c>
    </row>
    <row r="662" spans="1:11" x14ac:dyDescent="0.25">
      <c r="A662" s="70"/>
      <c r="B662" s="2983" t="str">
        <f>"Verschil delen door "&amp;(1-BGTariefBox3)&amp;" (= tarief BOX III)"</f>
        <v>Verschil delen door 0,64 (= tarief BOX III)</v>
      </c>
      <c r="C662" s="2799"/>
      <c r="D662" s="2799"/>
      <c r="E662" s="346">
        <f>E661/(1-BGTariefBox3)</f>
        <v>0</v>
      </c>
      <c r="F662" s="346">
        <f>F661/(1-BGTariefBox3)</f>
        <v>0</v>
      </c>
      <c r="G662" s="342"/>
      <c r="H662" s="343"/>
      <c r="I662" s="343"/>
      <c r="J662" s="349"/>
      <c r="K662" s="25">
        <v>268</v>
      </c>
    </row>
    <row r="663" spans="1:11" x14ac:dyDescent="0.25">
      <c r="A663" s="334"/>
      <c r="B663" s="2984" t="str">
        <f>CONCATENATE("Als het VERSCHIL  a € ",ROUND(E662,0)," LAGER is dan het belastbaar inkomen box III a € ",ROUND(D175,0)," dan ",(BGTariefBox3*100),"% van dit bedrag:")</f>
        <v>Als het VERSCHIL  a € 0 LAGER is dan het belastbaar inkomen box III a € 0 dan 36% van dit bedrag:</v>
      </c>
      <c r="C663" s="2985"/>
      <c r="D663" s="2985"/>
      <c r="E663" s="345" t="str">
        <f>IF(E662&lt;D175,E662*BGTariefBox3,"zie 146")</f>
        <v>zie 146</v>
      </c>
      <c r="F663" s="345" t="str">
        <f>IF(F662&lt;E175,F662*BGTariefBox3,"zie 146")</f>
        <v>zie 146</v>
      </c>
      <c r="G663" s="342"/>
      <c r="H663" s="343"/>
      <c r="I663" s="343"/>
      <c r="J663" s="349"/>
      <c r="K663" s="1989">
        <v>269</v>
      </c>
    </row>
    <row r="664" spans="1:11" x14ac:dyDescent="0.25">
      <c r="A664" s="70"/>
      <c r="B664" s="73"/>
      <c r="C664" s="69"/>
      <c r="D664" s="100"/>
      <c r="E664" s="339"/>
      <c r="F664" s="339"/>
      <c r="G664" s="342"/>
      <c r="H664" s="343"/>
      <c r="I664" s="343"/>
      <c r="J664" s="349"/>
      <c r="K664" s="25">
        <v>270</v>
      </c>
    </row>
    <row r="665" spans="1:11" ht="17.25" x14ac:dyDescent="0.25">
      <c r="A665" s="70"/>
      <c r="B665" s="2986" t="str">
        <f>"Als het VERSCHIL hierboven HOGER is dan het belastbaar inkomen box III a € "&amp;ROUND(D175,0)&amp;" dan "&amp;(BGTariefBox3*100)&amp;"% van dit bedrag:"</f>
        <v>Als het VERSCHIL hierboven HOGER is dan het belastbaar inkomen box III a € 0 dan 36% van dit bedrag:</v>
      </c>
      <c r="C665" s="2987"/>
      <c r="D665" s="2987"/>
      <c r="E665" s="339"/>
      <c r="F665" s="339"/>
      <c r="G665" s="342"/>
      <c r="H665" s="343"/>
      <c r="I665" s="343"/>
      <c r="J665" s="349"/>
      <c r="K665" s="25">
        <v>271</v>
      </c>
    </row>
    <row r="666" spans="1:11" x14ac:dyDescent="0.25">
      <c r="A666" s="70">
        <v>146</v>
      </c>
      <c r="B666" s="271" t="str">
        <f>B176</f>
        <v>Inkomstebelasting (vast tarief 36%) box III:</v>
      </c>
      <c r="C666" s="262" t="s">
        <v>68</v>
      </c>
      <c r="D666" s="100"/>
      <c r="E666" s="346">
        <f>D176</f>
        <v>0</v>
      </c>
      <c r="F666" s="346">
        <f>E176</f>
        <v>0</v>
      </c>
      <c r="G666" s="342"/>
      <c r="H666" s="343"/>
      <c r="I666" s="343"/>
      <c r="J666" s="349"/>
      <c r="K666" s="25">
        <v>272</v>
      </c>
    </row>
    <row r="667" spans="1:11" x14ac:dyDescent="0.25">
      <c r="A667" s="70"/>
      <c r="B667" s="266" t="s">
        <v>344</v>
      </c>
      <c r="C667" s="69"/>
      <c r="D667" s="86">
        <f>E661</f>
        <v>0</v>
      </c>
      <c r="E667" s="339"/>
      <c r="F667" s="339"/>
      <c r="G667" s="342"/>
      <c r="H667" s="343"/>
      <c r="I667" s="343"/>
      <c r="J667" s="349"/>
      <c r="K667" s="25">
        <v>273</v>
      </c>
    </row>
    <row r="668" spans="1:11" x14ac:dyDescent="0.25">
      <c r="A668" s="70"/>
      <c r="B668" s="271" t="str">
        <f>B175</f>
        <v>Belastbaar inkomen uit sparen en beleggen (Box III):</v>
      </c>
      <c r="C668" s="69"/>
      <c r="D668" s="86">
        <f>D175</f>
        <v>0</v>
      </c>
      <c r="E668" s="339"/>
      <c r="F668" s="339"/>
      <c r="G668" s="342"/>
      <c r="H668" s="343"/>
      <c r="I668" s="343"/>
      <c r="J668" s="349"/>
      <c r="K668" s="25">
        <v>274</v>
      </c>
    </row>
    <row r="669" spans="1:11" x14ac:dyDescent="0.25">
      <c r="A669" s="70"/>
      <c r="B669" s="273" t="str">
        <f>B176</f>
        <v>Inkomstebelasting (vast tarief 36%) box III:</v>
      </c>
      <c r="C669" s="69"/>
      <c r="D669" s="86">
        <f>D176</f>
        <v>0</v>
      </c>
      <c r="E669" s="339"/>
      <c r="F669" s="339"/>
      <c r="G669" s="342"/>
      <c r="H669" s="343"/>
      <c r="I669" s="343"/>
      <c r="J669" s="349"/>
      <c r="K669" s="25">
        <v>275</v>
      </c>
    </row>
    <row r="670" spans="1:11" ht="15.75" x14ac:dyDescent="0.25">
      <c r="A670" s="334"/>
      <c r="B670" s="270" t="s">
        <v>345</v>
      </c>
      <c r="C670" s="268"/>
      <c r="D670" s="269"/>
      <c r="E670" s="345">
        <f>D668-D669</f>
        <v>0</v>
      </c>
      <c r="F670" s="345">
        <f>E668-E669</f>
        <v>0</v>
      </c>
      <c r="G670" s="342"/>
      <c r="H670" s="343"/>
      <c r="I670" s="343"/>
      <c r="J670" s="349"/>
      <c r="K670" s="1989">
        <v>276</v>
      </c>
    </row>
    <row r="671" spans="1:11" x14ac:dyDescent="0.25">
      <c r="A671" s="70"/>
      <c r="B671" s="73"/>
      <c r="C671" s="69"/>
      <c r="D671" s="100"/>
      <c r="E671" s="339"/>
      <c r="F671" s="339"/>
      <c r="G671" s="342"/>
      <c r="H671" s="343"/>
      <c r="I671" s="343"/>
      <c r="J671" s="349"/>
      <c r="K671" s="25">
        <v>277</v>
      </c>
    </row>
    <row r="672" spans="1:11" x14ac:dyDescent="0.25">
      <c r="A672" s="70"/>
      <c r="B672" s="266"/>
      <c r="C672" s="69"/>
      <c r="D672" s="100"/>
      <c r="E672" s="339"/>
      <c r="F672" s="339"/>
      <c r="G672" s="342"/>
      <c r="H672" s="343"/>
      <c r="I672" s="343"/>
      <c r="J672" s="349"/>
      <c r="K672" s="25">
        <v>278</v>
      </c>
    </row>
    <row r="673" spans="1:11" ht="15.75" thickBot="1" x14ac:dyDescent="0.3">
      <c r="A673" s="71"/>
      <c r="B673" s="335"/>
      <c r="C673" s="336"/>
      <c r="D673" s="337"/>
      <c r="E673" s="348"/>
      <c r="F673" s="348"/>
      <c r="G673" s="353"/>
      <c r="H673" s="354"/>
      <c r="I673" s="354"/>
      <c r="J673" s="352"/>
      <c r="K673" s="27">
        <v>279</v>
      </c>
    </row>
  </sheetData>
  <sheetProtection algorithmName="SHA-512" hashValue="XxACqrV0orJgHt//9Q/ZAoV7108RVdcU/AV9IuYeUJfSGkxdn+PpXjwI+ZDB+wV2ZN5WgQ4vQOEpJqJj+yshgw==" saltValue="04BrYGFXsfpplYg8liiUXg==" spinCount="100000" sheet="1" autoFilter="0"/>
  <protectedRanges>
    <protectedRange sqref="M257:N257 M262 D257:E257 D262:E262 G257:H257" name="Regel 257 262 AP AG 123 Werk.Woonlast"/>
    <protectedRange sqref="D13 G13" name="Regel 013 013 AP AG 041 DGA"/>
    <protectedRange sqref="D54 G54" name="Regel 054 054 AP AG 062 Reisaftrek"/>
    <protectedRange sqref="D59:D60 D62:D63 D65 G59:G60 G62:G63 G65" name="Regel 059 065 AP AG 065 070 Winst uit onderneming"/>
    <protectedRange sqref="D73 G73" name="Regel 073 073 AP AG 074 Stakingsaftrek"/>
    <protectedRange sqref="D78:D79 G78:G79" name="Regel 078 079 AP AG 076 077 Overig Werk"/>
    <protectedRange sqref="D83 G83" name="Regel 083 083 AP AG 079 Uitkeringen"/>
    <protectedRange sqref="D105:D106 G105:G106" name="Regel 105 106 AP AG 086 087 Premies"/>
    <protectedRange sqref="D113 G113" name="Regel 113 113 AP AG 091 Uitgaven"/>
    <protectedRange sqref="D143 D146 G143 G146" name="Regel 143 146 AP AG 096 099 Voordelen Pers gebonden aftrek"/>
    <protectedRange sqref="D152:D154 G152:G154" name="Regel 152 154 AP AG 102 Inkomsten"/>
    <protectedRange sqref="D158:D159 G158:G159 D163 G163" name="Regel 158 163 AP AG 104 Rendement"/>
    <protectedRange sqref="D170 G170" name="Regel 107 107 AP AG 107 Toeslagen"/>
    <protectedRange sqref="D174 G174" name="Regel 174 174 AP AG 110 Pers Geb aftrek"/>
    <protectedRange sqref="D189 G189" name="Regel 189 189 AP AG 115 Andere kortingen"/>
    <protectedRange sqref="D216 G216 D219 G219" name="Regel 216 219 AP AG 118 119a Bonnen Netto inkomsten"/>
    <protectedRange sqref="D223 G223" name="Regel 223 223 AP AG 119a Heffingskorting"/>
    <protectedRange sqref="G267 D267" name="Regel 267 267 AP AG 128 134 Kosten en schulden"/>
    <protectedRange sqref="D279:D280 G279:G280" name="Regel 279 280 AP AG 137 138 Onderhoud"/>
    <protectedRange sqref="D295 G295" name="Regel 295 295 AP AG 141c Onderhoud"/>
    <protectedRange sqref="D18 G18" name="Regel 018 018 AP AG 049 Overig Inkomen"/>
    <protectedRange sqref="E31:F31 H31:I31" name="Regel 031 031 AP AG 051a NettoPensioen"/>
  </protectedRanges>
  <autoFilter ref="A2:J332" xr:uid="{00000000-0009-0000-0000-000001000000}"/>
  <mergeCells count="59">
    <mergeCell ref="I280:I285"/>
    <mergeCell ref="N260:N262"/>
    <mergeCell ref="N280:N285"/>
    <mergeCell ref="M280:M285"/>
    <mergeCell ref="F6:F13"/>
    <mergeCell ref="F15:F20"/>
    <mergeCell ref="F24:F26"/>
    <mergeCell ref="F32:F33"/>
    <mergeCell ref="F37:F38"/>
    <mergeCell ref="F53:F55"/>
    <mergeCell ref="F59:F65"/>
    <mergeCell ref="F69:F74"/>
    <mergeCell ref="F78:F79"/>
    <mergeCell ref="F94:F101"/>
    <mergeCell ref="F105:F107"/>
    <mergeCell ref="F280:F285"/>
    <mergeCell ref="B662:D662"/>
    <mergeCell ref="B663:D663"/>
    <mergeCell ref="B665:D665"/>
    <mergeCell ref="E59:E65"/>
    <mergeCell ref="H59:H65"/>
    <mergeCell ref="E78:E79"/>
    <mergeCell ref="H78:H79"/>
    <mergeCell ref="E69:E74"/>
    <mergeCell ref="H69:H74"/>
    <mergeCell ref="H105:H107"/>
    <mergeCell ref="E105:E107"/>
    <mergeCell ref="H94:H101"/>
    <mergeCell ref="E94:E101"/>
    <mergeCell ref="E280:E285"/>
    <mergeCell ref="H280:H285"/>
    <mergeCell ref="E6:E13"/>
    <mergeCell ref="H6:H13"/>
    <mergeCell ref="E15:E20"/>
    <mergeCell ref="H15:H20"/>
    <mergeCell ref="J47:J49"/>
    <mergeCell ref="E24:E26"/>
    <mergeCell ref="H24:H26"/>
    <mergeCell ref="E37:E38"/>
    <mergeCell ref="H37:H38"/>
    <mergeCell ref="E32:E33"/>
    <mergeCell ref="H32:H33"/>
    <mergeCell ref="I15:I20"/>
    <mergeCell ref="I24:I26"/>
    <mergeCell ref="I32:I33"/>
    <mergeCell ref="I37:I38"/>
    <mergeCell ref="I6:I13"/>
    <mergeCell ref="J260:J262"/>
    <mergeCell ref="G260:G262"/>
    <mergeCell ref="H260:H262"/>
    <mergeCell ref="E53:E55"/>
    <mergeCell ref="H53:H55"/>
    <mergeCell ref="I53:I55"/>
    <mergeCell ref="I59:I65"/>
    <mergeCell ref="I69:I74"/>
    <mergeCell ref="I78:I79"/>
    <mergeCell ref="I94:I101"/>
    <mergeCell ref="I105:I107"/>
    <mergeCell ref="I260:I262"/>
  </mergeCells>
  <conditionalFormatting sqref="C3 C5:C118 C151:C265 C267:C275 C277:C297">
    <cfRule type="cellIs" dxfId="40" priority="21" operator="equal">
      <formula>"-"</formula>
    </cfRule>
    <cfRule type="cellIs" dxfId="39" priority="22" operator="equal">
      <formula>"+"</formula>
    </cfRule>
  </conditionalFormatting>
  <conditionalFormatting sqref="C122 C304:C305">
    <cfRule type="cellIs" dxfId="38" priority="66" operator="equal">
      <formula>"-"</formula>
    </cfRule>
    <cfRule type="cellIs" dxfId="37" priority="67" operator="equal">
      <formula>"+"</formula>
    </cfRule>
  </conditionalFormatting>
  <conditionalFormatting sqref="C129:C149">
    <cfRule type="cellIs" dxfId="36" priority="11" operator="equal">
      <formula>"-"</formula>
    </cfRule>
    <cfRule type="cellIs" dxfId="35" priority="12" operator="equal">
      <formula>"+"</formula>
    </cfRule>
  </conditionalFormatting>
  <conditionalFormatting sqref="C659">
    <cfRule type="cellIs" dxfId="34" priority="43" operator="equal">
      <formula>"-"</formula>
    </cfRule>
    <cfRule type="cellIs" dxfId="33" priority="44" operator="equal">
      <formula>"+"</formula>
    </cfRule>
  </conditionalFormatting>
  <conditionalFormatting sqref="C666">
    <cfRule type="cellIs" dxfId="32" priority="41" operator="equal">
      <formula>"-"</formula>
    </cfRule>
    <cfRule type="cellIs" dxfId="31" priority="42" operator="equal">
      <formula>"+"</formula>
    </cfRule>
  </conditionalFormatting>
  <conditionalFormatting sqref="D297 F297:G297">
    <cfRule type="cellIs" dxfId="30" priority="56" operator="lessThanOrEqual">
      <formula>0</formula>
    </cfRule>
  </conditionalFormatting>
  <conditionalFormatting sqref="D298">
    <cfRule type="expression" dxfId="29" priority="39">
      <formula>D$297&lt;=0</formula>
    </cfRule>
  </conditionalFormatting>
  <conditionalFormatting sqref="D191:I191 D273:I273 E274:I274 D275:I275 E276:F276 H276:I276 D277:I286">
    <cfRule type="cellIs" dxfId="28" priority="55" operator="lessThan">
      <formula>0</formula>
    </cfRule>
  </conditionalFormatting>
  <conditionalFormatting sqref="D278:I278">
    <cfRule type="cellIs" dxfId="27" priority="50" operator="lessThanOrEqual">
      <formula>0</formula>
    </cfRule>
  </conditionalFormatting>
  <conditionalFormatting sqref="D287:I287">
    <cfRule type="expression" dxfId="26" priority="52">
      <formula>D$286&lt;=0</formula>
    </cfRule>
  </conditionalFormatting>
  <conditionalFormatting sqref="G298">
    <cfRule type="expression" dxfId="24" priority="45">
      <formula>G$297&lt;=0</formula>
    </cfRule>
  </conditionalFormatting>
  <conditionalFormatting sqref="I297">
    <cfRule type="cellIs" dxfId="22" priority="1" operator="lessThanOrEqual">
      <formula>0</formula>
    </cfRule>
  </conditionalFormatting>
  <conditionalFormatting sqref="M273:N286">
    <cfRule type="cellIs" dxfId="21" priority="4" operator="lessThan">
      <formula>0</formula>
    </cfRule>
  </conditionalFormatting>
  <conditionalFormatting sqref="M278:N278">
    <cfRule type="cellIs" dxfId="20" priority="3" operator="lessThanOrEqual">
      <formula>0</formula>
    </cfRule>
  </conditionalFormatting>
  <pageMargins left="0.7" right="0.7" top="0.75" bottom="0.75" header="0.3" footer="0.3"/>
  <pageSetup paperSize="9" orientation="portrait" horizontalDpi="4294967293" r:id="rId1"/>
  <ignoredErrors>
    <ignoredError sqref="G275 D119:D121 D123 D126:D128 G119:G121 G185:G188 E181 G126:G128 G123:G124" formula="1"/>
  </ignoredErrors>
  <extLst>
    <ext xmlns:x14="http://schemas.microsoft.com/office/spreadsheetml/2009/9/main" uri="{78C0D931-6437-407d-A8EE-F0AAD7539E65}">
      <x14:conditionalFormattings>
        <x14:conditionalFormatting xmlns:xm="http://schemas.microsoft.com/office/excel/2006/main">
          <x14:cfRule type="expression" priority="3098" id="{CA640FAA-F6F0-4877-BBB2-6F7E3F0F339F}">
            <xm:f>AND($E$31&lt;&gt;0,$D$12&lt;=Basisgegevens!$C$216)</xm:f>
            <x14:dxf>
              <fill>
                <patternFill>
                  <bgColor rgb="FFFF0000"/>
                </patternFill>
              </fill>
            </x14:dxf>
          </x14:cfRule>
          <xm:sqref>E31:F31</xm:sqref>
        </x14:conditionalFormatting>
        <x14:conditionalFormatting xmlns:xm="http://schemas.microsoft.com/office/excel/2006/main">
          <x14:cfRule type="expression" priority="3099" id="{8901AFFA-B757-40C7-87DB-157B3E925CBD}">
            <xm:f>AND($H$31&lt;&gt;0,$G$12&lt;=Basisgegevens!$C$216)</xm:f>
            <x14:dxf>
              <fill>
                <patternFill>
                  <bgColor rgb="FFFF0000"/>
                </patternFill>
              </fill>
            </x14:dxf>
          </x14:cfRule>
          <xm:sqref>H31:I31</xm:sqref>
        </x14:conditionalFormatting>
      </x14:conditionalFormattings>
    </ext>
    <ext xmlns:x14="http://schemas.microsoft.com/office/spreadsheetml/2009/9/main" uri="{CCE6A557-97BC-4b89-ADB6-D9C93CAAB3DF}">
      <x14:dataValidations xmlns:xm="http://schemas.microsoft.com/office/excel/2006/main"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G13:G14 D260:F260 M260 M257:N257 M262 D262:E262 D257:E257 G257:H257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K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4" width="18.7109375" customWidth="1"/>
    <col min="5" max="5" width="20.7109375" customWidth="1"/>
    <col min="6" max="6" width="15.7109375" customWidth="1"/>
    <col min="7" max="8" width="13.28515625" customWidth="1"/>
    <col min="9" max="9" width="25.7109375" customWidth="1"/>
    <col min="10" max="10" width="9.7109375" customWidth="1"/>
    <col min="11" max="11" width="11.7109375" customWidth="1"/>
    <col min="12" max="12" width="11.7109375" style="113" customWidth="1"/>
    <col min="13" max="23" width="11.7109375" customWidth="1"/>
    <col min="24" max="26" width="9.7109375" customWidth="1"/>
    <col min="30" max="37" width="11.7109375" customWidth="1"/>
  </cols>
  <sheetData>
    <row r="1" spans="1:35" ht="21.75" thickBot="1" x14ac:dyDescent="0.4">
      <c r="A1" s="1943"/>
      <c r="B1" s="1897" t="s">
        <v>706</v>
      </c>
      <c r="C1" s="1944"/>
      <c r="D1" s="1944"/>
      <c r="E1" s="1944"/>
      <c r="F1" s="1944"/>
      <c r="G1" s="1944"/>
      <c r="H1" s="1944"/>
      <c r="I1" s="1944"/>
      <c r="J1" s="1944"/>
      <c r="K1" s="1944"/>
      <c r="L1" s="1944"/>
      <c r="M1" s="1944"/>
      <c r="N1" s="1944"/>
      <c r="O1" s="1944"/>
      <c r="P1" s="1944"/>
      <c r="Q1" s="1944"/>
      <c r="R1" s="1944"/>
      <c r="S1" s="1944"/>
      <c r="T1" s="1944"/>
      <c r="U1" s="1944"/>
      <c r="V1" s="1945"/>
    </row>
    <row r="2" spans="1:35" ht="15.75" thickBot="1" x14ac:dyDescent="0.3">
      <c r="B2" s="1846" t="s">
        <v>896</v>
      </c>
      <c r="AD2" s="4" t="s">
        <v>1117</v>
      </c>
    </row>
    <row r="3" spans="1:35" ht="15" customHeight="1" thickBot="1" x14ac:dyDescent="0.3">
      <c r="H3" s="4" t="s">
        <v>760</v>
      </c>
      <c r="I3" s="4"/>
      <c r="L3"/>
      <c r="Q3" s="4" t="s">
        <v>259</v>
      </c>
      <c r="V3" s="3064" t="s">
        <v>415</v>
      </c>
      <c r="AI3" s="3064" t="s">
        <v>415</v>
      </c>
    </row>
    <row r="4" spans="1:35" ht="15" customHeight="1" thickBot="1" x14ac:dyDescent="0.3">
      <c r="B4" s="115" t="s">
        <v>109</v>
      </c>
      <c r="C4" s="116"/>
      <c r="D4" s="116"/>
      <c r="E4" s="116"/>
      <c r="F4" s="117"/>
      <c r="G4" s="118"/>
      <c r="J4" s="3067" t="s">
        <v>761</v>
      </c>
      <c r="K4" s="3068"/>
      <c r="L4" s="3001" t="s">
        <v>704</v>
      </c>
      <c r="M4" s="3001" t="s">
        <v>773</v>
      </c>
      <c r="V4" s="3065"/>
      <c r="AI4" s="3065"/>
    </row>
    <row r="5" spans="1:35" ht="15" customHeight="1" thickBot="1" x14ac:dyDescent="0.3">
      <c r="C5" s="119" t="s">
        <v>303</v>
      </c>
      <c r="D5" s="119" t="s">
        <v>295</v>
      </c>
      <c r="F5" s="119" t="s">
        <v>57</v>
      </c>
      <c r="H5" s="3069" t="s">
        <v>759</v>
      </c>
      <c r="I5" s="3070"/>
      <c r="J5" s="18" t="str">
        <f>Basisgegevens!$C$4</f>
        <v>A. Plichtig</v>
      </c>
      <c r="K5" s="18" t="str">
        <f>Basisgegevens!$D$4</f>
        <v>A. Gerechtigd</v>
      </c>
      <c r="L5" s="3003"/>
      <c r="M5" s="3002"/>
      <c r="Q5" s="114"/>
      <c r="U5" s="217" t="s">
        <v>57</v>
      </c>
      <c r="V5" s="3066"/>
      <c r="AD5" s="114"/>
      <c r="AH5" s="217" t="s">
        <v>57</v>
      </c>
      <c r="AI5" s="3066"/>
    </row>
    <row r="6" spans="1:35" ht="15" customHeight="1" thickBot="1" x14ac:dyDescent="0.3">
      <c r="A6" s="512" t="s">
        <v>223</v>
      </c>
      <c r="B6" s="1213" t="s">
        <v>296</v>
      </c>
      <c r="C6" s="218">
        <f>BGJaarBerekening</f>
        <v>2025</v>
      </c>
      <c r="D6" s="1230">
        <f>Basisgegevens!C20</f>
        <v>0</v>
      </c>
      <c r="E6" s="3004" t="s">
        <v>705</v>
      </c>
      <c r="F6" s="218">
        <f>IF(KANBIBerekend=D11,D6,C6)</f>
        <v>0</v>
      </c>
      <c r="H6" s="3021" t="str">
        <f>Basisgegevens!M310</f>
        <v>0 t/m 17 (Tabel)</v>
      </c>
      <c r="I6" s="3022"/>
      <c r="J6" s="1405">
        <f>Basisgegevens!N310</f>
        <v>0</v>
      </c>
      <c r="K6" s="412">
        <f>Basisgegevens!O310</f>
        <v>0</v>
      </c>
      <c r="L6" s="12">
        <f>SUM(J6:K6)</f>
        <v>0</v>
      </c>
      <c r="M6" s="3002"/>
      <c r="Q6" s="247"/>
      <c r="R6" s="1390"/>
      <c r="S6" s="1390"/>
      <c r="T6" s="1395" t="str">
        <f>Basisgegevens!$C$4</f>
        <v>A. Plichtig</v>
      </c>
      <c r="U6" s="1871">
        <f>'Alimentatie 2025-01'!$E$286</f>
        <v>-1276.0999999999999</v>
      </c>
      <c r="V6" s="780">
        <f>IF(U6&lt;0.0001,0,(U6/U$8)*$D$23)</f>
        <v>0</v>
      </c>
      <c r="AD6" s="247"/>
      <c r="AE6" s="1390"/>
      <c r="AF6" s="1390"/>
      <c r="AG6" s="1395" t="str">
        <f>Basisgegevens!$C$4</f>
        <v>A. Plichtig</v>
      </c>
      <c r="AH6" s="1871">
        <f>'Alimentatie 2025-01'!$F$286</f>
        <v>-1276.0999999999999</v>
      </c>
      <c r="AI6" s="780">
        <f>IF(AH6&lt;0.0001,0,(AH6/AH$8)*$D$23)</f>
        <v>0</v>
      </c>
    </row>
    <row r="7" spans="1:35" ht="15" customHeight="1" thickBot="1" x14ac:dyDescent="0.3">
      <c r="A7" s="10">
        <v>121</v>
      </c>
      <c r="B7" s="1229" t="str">
        <f>Basisgegevens!C4</f>
        <v>A. Plichtig</v>
      </c>
      <c r="C7" s="1221">
        <f>IF(BG121NBI_KA_AP&lt;0,0,BG121NBI_KA_AP)</f>
        <v>0</v>
      </c>
      <c r="D7" s="1223" t="s">
        <v>534</v>
      </c>
      <c r="E7" s="3005"/>
      <c r="F7" s="1223"/>
      <c r="H7" s="3023" t="str">
        <f>Basisgegevens!M311</f>
        <v>18 tot 21 (Tabel)</v>
      </c>
      <c r="I7" s="3024"/>
      <c r="J7" s="1406">
        <f>Basisgegevens!N311</f>
        <v>0</v>
      </c>
      <c r="K7" s="413">
        <f>Basisgegevens!O311</f>
        <v>0</v>
      </c>
      <c r="L7" s="13">
        <f>SUM(J7:K7)</f>
        <v>0</v>
      </c>
      <c r="M7" s="3002"/>
      <c r="Q7" s="1391"/>
      <c r="R7" s="1392"/>
      <c r="S7" s="1392"/>
      <c r="T7" s="1396" t="str">
        <f>Basisgegevens!$D$4</f>
        <v>A. Gerechtigd</v>
      </c>
      <c r="U7" s="411">
        <f>'Alimentatie 2025-01'!$H$286</f>
        <v>-1276.0999999999999</v>
      </c>
      <c r="V7" s="781">
        <f>IF(U7&lt;0.0001,0,(U7/U$8)*$D$23)</f>
        <v>0</v>
      </c>
      <c r="AD7" s="1391"/>
      <c r="AE7" s="1392"/>
      <c r="AF7" s="1392"/>
      <c r="AG7" s="1396" t="str">
        <f>Basisgegevens!$D$4</f>
        <v>A. Gerechtigd</v>
      </c>
      <c r="AH7" s="411">
        <f>'Alimentatie 2025-01'!$I$286</f>
        <v>-1276.0999999999999</v>
      </c>
      <c r="AI7" s="781">
        <f>IF(AH7&lt;0.0001,0,(AH7/AH$8)*$D$23)</f>
        <v>0</v>
      </c>
    </row>
    <row r="8" spans="1:35" ht="15" customHeight="1" thickBot="1" x14ac:dyDescent="0.3">
      <c r="A8" s="191">
        <v>121</v>
      </c>
      <c r="B8" s="167" t="str">
        <f>Basisgegevens!D4</f>
        <v>A. Gerechtigd</v>
      </c>
      <c r="C8" s="1222">
        <f>IF(BG121NBI_KA_AG&lt;0,0,BG121NBI_KA_AG)</f>
        <v>0</v>
      </c>
      <c r="D8" s="1227" t="s">
        <v>534</v>
      </c>
      <c r="E8" s="3005"/>
      <c r="F8" s="1224"/>
      <c r="H8" s="3023" t="str">
        <f>Basisgegevens!M312</f>
        <v>12 t/m 17 (MBO)</v>
      </c>
      <c r="I8" s="3024"/>
      <c r="J8" s="1406">
        <f>Basisgegevens!N312</f>
        <v>0</v>
      </c>
      <c r="K8" s="413">
        <f>Basisgegevens!O312</f>
        <v>0</v>
      </c>
      <c r="L8" s="13">
        <f>SUM(J8:K8)</f>
        <v>0</v>
      </c>
      <c r="M8" s="3002"/>
      <c r="Q8" s="1388"/>
      <c r="R8" s="1389"/>
      <c r="S8" s="1389"/>
      <c r="T8" s="1393" t="s">
        <v>286</v>
      </c>
      <c r="U8" s="409">
        <f>SUM(U6:U7)</f>
        <v>-2552.1999999999998</v>
      </c>
      <c r="V8" s="248">
        <f>SUM(V6:V7)</f>
        <v>0</v>
      </c>
      <c r="AD8" s="1388"/>
      <c r="AE8" s="1389"/>
      <c r="AF8" s="1389"/>
      <c r="AG8" s="1393" t="s">
        <v>286</v>
      </c>
      <c r="AH8" s="409">
        <f>SUM(AH6:AH7)</f>
        <v>-2552.1999999999998</v>
      </c>
      <c r="AI8" s="248">
        <f>SUM(AI6:AI7)</f>
        <v>0</v>
      </c>
    </row>
    <row r="9" spans="1:35" ht="15" customHeight="1" thickBot="1" x14ac:dyDescent="0.3">
      <c r="A9" s="191"/>
      <c r="B9" s="168" t="s">
        <v>247</v>
      </c>
      <c r="C9" s="1222">
        <f>BGKGBvoorScheiding</f>
        <v>0</v>
      </c>
      <c r="D9" s="1225" t="s">
        <v>534</v>
      </c>
      <c r="E9" s="3005"/>
      <c r="F9" s="1225"/>
      <c r="H9" s="3025" t="str">
        <f>Basisgegevens!M313</f>
        <v>18 tot 21 (Student)</v>
      </c>
      <c r="I9" s="3026"/>
      <c r="J9" s="1407">
        <f>Basisgegevens!N313</f>
        <v>0</v>
      </c>
      <c r="K9" s="414">
        <f>Basisgegevens!O313</f>
        <v>0</v>
      </c>
      <c r="L9" s="124">
        <f>SUM(J9:K9)</f>
        <v>0</v>
      </c>
      <c r="M9" s="3003"/>
      <c r="Q9" s="1398"/>
      <c r="R9" s="1390"/>
      <c r="S9" s="1390"/>
      <c r="T9" s="1399" t="s">
        <v>707</v>
      </c>
      <c r="U9" s="2044">
        <f>$D$23+$G$41</f>
        <v>0</v>
      </c>
      <c r="AD9" s="1398"/>
      <c r="AE9" s="1390"/>
      <c r="AF9" s="1390"/>
      <c r="AG9" s="1399" t="s">
        <v>707</v>
      </c>
      <c r="AH9" s="2044">
        <f>$D$23+$G$41</f>
        <v>0</v>
      </c>
    </row>
    <row r="10" spans="1:35" ht="15" customHeight="1" thickBot="1" x14ac:dyDescent="0.3">
      <c r="A10" s="9"/>
      <c r="B10" s="2132" t="s">
        <v>1006</v>
      </c>
      <c r="C10" s="500">
        <f>BGOppaskostenvoorScheiding*-1</f>
        <v>0</v>
      </c>
      <c r="D10" s="1226" t="s">
        <v>534</v>
      </c>
      <c r="E10" s="3006"/>
      <c r="F10" s="1226"/>
      <c r="J10" s="1423">
        <f>SUM(J6:J9)</f>
        <v>0</v>
      </c>
      <c r="K10" s="1423">
        <f>SUM(K6:K9)</f>
        <v>0</v>
      </c>
      <c r="L10" s="1423">
        <f>SUM(L6:L9)</f>
        <v>0</v>
      </c>
      <c r="M10" s="1423">
        <f>Basisgegevens!Q314</f>
        <v>0</v>
      </c>
      <c r="Q10" s="1400"/>
      <c r="R10" s="1387"/>
      <c r="S10" s="1387"/>
      <c r="T10" s="1394" t="str">
        <f>IF(U10&lt;0,"TEKORT:","Over:")</f>
        <v>TEKORT:</v>
      </c>
      <c r="U10" s="781">
        <f>U8-$H$41</f>
        <v>-2552.1999999999998</v>
      </c>
      <c r="AD10" s="1400"/>
      <c r="AE10" s="1387"/>
      <c r="AF10" s="1387"/>
      <c r="AG10" s="1394" t="str">
        <f>IF(AH10&lt;0,"TEKORT:","Over:")</f>
        <v>TEKORT:</v>
      </c>
      <c r="AH10" s="781">
        <f>AH8-$H$41</f>
        <v>-2552.1999999999998</v>
      </c>
    </row>
    <row r="11" spans="1:35" ht="15" customHeight="1" thickBot="1" x14ac:dyDescent="0.3">
      <c r="B11" s="1228" t="s">
        <v>248</v>
      </c>
      <c r="C11" s="120">
        <f>SUM(C7:C10)</f>
        <v>0</v>
      </c>
      <c r="D11" s="241">
        <f>IF(C6=D6,"n.v.t",Basisgegevens!C21)</f>
        <v>0</v>
      </c>
      <c r="E11" s="242">
        <f>IF(AND(D6&lt;&gt;0,D6&lt;C6,D11&gt;0,SUM(C7:C8)&lt;D11),D11,C11)</f>
        <v>0</v>
      </c>
      <c r="F11" s="120"/>
      <c r="J11" s="3007" t="str">
        <f>IF(L10&gt;4,"----&gt; Teveel kinderen, er wordt alleen met de oudste 4 kinderen gerekend ","--")</f>
        <v>--</v>
      </c>
      <c r="K11" s="3008"/>
      <c r="L11" s="3008"/>
      <c r="M11" s="3008"/>
      <c r="N11" s="3008"/>
      <c r="O11" s="3009"/>
      <c r="Q11" s="1400"/>
      <c r="R11" s="1387"/>
      <c r="S11" s="1387"/>
      <c r="T11" s="1394" t="s">
        <v>708</v>
      </c>
      <c r="U11" s="410">
        <f>IF(U10&lt;0,(U10*V11)*-1,0)</f>
        <v>1276.0999999999999</v>
      </c>
      <c r="V11" s="415">
        <v>0.5</v>
      </c>
      <c r="AD11" s="1400"/>
      <c r="AE11" s="1387"/>
      <c r="AF11" s="1387"/>
      <c r="AG11" s="1394" t="s">
        <v>708</v>
      </c>
      <c r="AH11" s="410">
        <f>IF(AH10&lt;0,(AH10*AI11)*-1,0)</f>
        <v>1276.0999999999999</v>
      </c>
      <c r="AI11" s="415">
        <v>0.5</v>
      </c>
    </row>
    <row r="12" spans="1:35" ht="15" customHeight="1" thickBot="1" x14ac:dyDescent="0.3">
      <c r="B12" s="2668" t="str">
        <f>Basisgegevens!B304</f>
        <v>Een NBI tbv KA  &gt; € 7500, toch maximaliseren op 7500 ?</v>
      </c>
      <c r="C12" s="3019"/>
      <c r="D12" s="3020"/>
      <c r="E12" s="431" t="str">
        <f>Basisgegevens!C304</f>
        <v>Nee</v>
      </c>
      <c r="H12" s="3062" t="str">
        <f>RIGHT(Basisgegevens!M317,9)</f>
        <v>Uitwonend</v>
      </c>
      <c r="I12" s="3063"/>
      <c r="J12" s="2252"/>
      <c r="K12" s="2253"/>
      <c r="L12" s="2251">
        <f>Basisgegevens!P316+Basisgegevens!P317</f>
        <v>0</v>
      </c>
      <c r="Q12" s="1401"/>
      <c r="R12" s="1392"/>
      <c r="S12" s="1392"/>
      <c r="T12" s="1397" t="s">
        <v>709</v>
      </c>
      <c r="U12" s="2400">
        <f>IF(U8&lt;0.01,0,IF(U10&lt;0,(U11/$K$41),0))</f>
        <v>0</v>
      </c>
      <c r="AD12" s="1401"/>
      <c r="AE12" s="1392"/>
      <c r="AF12" s="1392"/>
      <c r="AG12" s="1397" t="s">
        <v>709</v>
      </c>
      <c r="AH12" s="2400">
        <f>IF(AH8&lt;0.01,0,IF(AH10&lt;0,(AH11/$K$41),0))</f>
        <v>0</v>
      </c>
    </row>
    <row r="13" spans="1:35" ht="15" customHeight="1" thickBot="1" x14ac:dyDescent="0.3">
      <c r="H13" s="3062" t="str">
        <f>Basisgegevens!M318</f>
        <v>21 of ouder</v>
      </c>
      <c r="I13" s="3063"/>
      <c r="J13" s="2187">
        <f>Basisgegevens!N318</f>
        <v>0</v>
      </c>
      <c r="K13" s="1386">
        <f>Basisgegevens!O318</f>
        <v>0</v>
      </c>
      <c r="L13" s="2251">
        <f>SUM(J13:K13)</f>
        <v>0</v>
      </c>
    </row>
    <row r="14" spans="1:35" ht="15" customHeight="1" x14ac:dyDescent="0.25">
      <c r="L14"/>
    </row>
    <row r="15" spans="1:35" ht="15" customHeight="1" thickBot="1" x14ac:dyDescent="0.3">
      <c r="B15" s="4" t="s">
        <v>765</v>
      </c>
      <c r="J15" s="4" t="s">
        <v>757</v>
      </c>
      <c r="K15" s="984"/>
      <c r="L15" s="984"/>
      <c r="M15" s="984"/>
      <c r="N15" s="984"/>
      <c r="O15" s="984"/>
      <c r="P15" s="984"/>
      <c r="Q15" s="984"/>
      <c r="R15" s="984"/>
      <c r="S15" s="984"/>
      <c r="T15" s="984"/>
      <c r="U15" s="984"/>
    </row>
    <row r="16" spans="1:35" ht="15" customHeight="1" thickBot="1" x14ac:dyDescent="0.3">
      <c r="D16" s="3027" t="s">
        <v>762</v>
      </c>
      <c r="E16" s="3027" t="s">
        <v>763</v>
      </c>
      <c r="J16" s="3071" t="s">
        <v>758</v>
      </c>
      <c r="K16" s="984"/>
      <c r="L16" s="984"/>
      <c r="M16" s="984"/>
      <c r="N16" s="984"/>
      <c r="O16" s="984"/>
      <c r="P16" s="984"/>
      <c r="Q16" s="984"/>
      <c r="R16" s="984"/>
      <c r="S16" s="984"/>
      <c r="T16" s="984"/>
      <c r="U16" s="984"/>
    </row>
    <row r="17" spans="1:37" ht="15" customHeight="1" thickBot="1" x14ac:dyDescent="0.3">
      <c r="B17" s="2999" t="s">
        <v>764</v>
      </c>
      <c r="C17" s="3000"/>
      <c r="D17" s="3028"/>
      <c r="E17" s="3058"/>
      <c r="J17" s="3072"/>
      <c r="K17" s="2186">
        <v>2000</v>
      </c>
      <c r="L17" s="985">
        <v>2500</v>
      </c>
      <c r="M17" s="985">
        <v>3000</v>
      </c>
      <c r="N17" s="985">
        <v>3500</v>
      </c>
      <c r="O17" s="985">
        <v>4000</v>
      </c>
      <c r="P17" s="985">
        <v>4500</v>
      </c>
      <c r="Q17" s="985">
        <v>5000</v>
      </c>
      <c r="R17" s="985">
        <v>5500</v>
      </c>
      <c r="S17" s="985">
        <v>6000</v>
      </c>
      <c r="T17" s="985">
        <v>6500</v>
      </c>
      <c r="U17" s="985">
        <v>7000</v>
      </c>
      <c r="V17" s="986">
        <v>7500</v>
      </c>
    </row>
    <row r="18" spans="1:37" ht="15" customHeight="1" thickBot="1" x14ac:dyDescent="0.3">
      <c r="B18" s="3010" t="s">
        <v>112</v>
      </c>
      <c r="C18" s="3011"/>
      <c r="D18" s="1408">
        <f>IF(KANBIBerekend&lt;=$K$17,0.001,IF(KANBIBerekend&gt;=$V$17,U$17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IF(AND(KANBIBerekend&gt;=$U$17,KANBIBerekend&lt;$V$17),U$17,0)))))))))))))</f>
        <v>1E-3</v>
      </c>
      <c r="E18" s="1408">
        <f>IF(KANBIBerekend&lt;=$K$17,K$17,IF(KANBIBerekend&gt;=$V$17,V$17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IF(AND(KANBIBerekend&gt;=$U$17,KANBIBerekend&lt;$V$17),V$17,0)))))))))))))</f>
        <v>2000</v>
      </c>
      <c r="J18" s="1427">
        <v>1</v>
      </c>
      <c r="K18" s="2172">
        <v>200</v>
      </c>
      <c r="L18" s="2172">
        <v>285</v>
      </c>
      <c r="M18" s="2172">
        <v>375</v>
      </c>
      <c r="N18" s="2172">
        <v>465</v>
      </c>
      <c r="O18" s="2172">
        <v>545</v>
      </c>
      <c r="P18" s="2172">
        <v>615</v>
      </c>
      <c r="Q18" s="2172">
        <v>680</v>
      </c>
      <c r="R18" s="2172">
        <v>745</v>
      </c>
      <c r="S18" s="2172">
        <v>810</v>
      </c>
      <c r="T18" s="2172">
        <v>870</v>
      </c>
      <c r="U18" s="2172">
        <v>930</v>
      </c>
      <c r="V18" s="2185">
        <v>990</v>
      </c>
    </row>
    <row r="19" spans="1:37" ht="15" customHeight="1" thickBot="1" x14ac:dyDescent="0.3">
      <c r="B19" s="3012" t="str">
        <f>"Afgelezen waarde uit tabel: Eigen aandeel"</f>
        <v>Afgelezen waarde uit tabel: Eigen aandeel</v>
      </c>
      <c r="C19" s="3011"/>
      <c r="D19" s="1409">
        <f>IF(OR(KANBIBerekend&lt;K17,KAKindRekenAantal=0),0,VLOOKUP(IF(AND(BGKind21Wel="Ja",L13+KAKindRekenAantal&lt;=4),L13+KAKindRekenAantal,KAKindRekenAantal),$J$17:$V21,1+MATCH(KANBIOndergrens,$K$17:$V$17,0),FALSE))</f>
        <v>0</v>
      </c>
      <c r="E19" s="1410">
        <f>IF(IF(BGKind21Wel="Ja",L13+KAKindRekenAantal,KAKindRekenAantal)=0,0,VLOOKUP(IF(AND(BGKind21Wel="Ja",L13+KAKindRekenAantal&lt;=4),L13+KAKindRekenAantal,KAKindRekenAantal),$J$17:$V21,1+MATCH(KANBIBovengrens,$K$17:$V$17,0),FALSE))</f>
        <v>0</v>
      </c>
      <c r="F19" s="3059" t="s">
        <v>766</v>
      </c>
      <c r="G19" s="2645"/>
      <c r="H19" s="2628"/>
      <c r="J19" s="1428">
        <v>2</v>
      </c>
      <c r="K19" s="994">
        <v>350</v>
      </c>
      <c r="L19" s="994">
        <v>490</v>
      </c>
      <c r="M19" s="994">
        <v>635</v>
      </c>
      <c r="N19" s="994">
        <v>780</v>
      </c>
      <c r="O19" s="994">
        <v>910</v>
      </c>
      <c r="P19" s="994">
        <v>1030</v>
      </c>
      <c r="Q19" s="994">
        <v>1150</v>
      </c>
      <c r="R19" s="994">
        <v>1265</v>
      </c>
      <c r="S19" s="994">
        <v>1380</v>
      </c>
      <c r="T19" s="994">
        <v>1490</v>
      </c>
      <c r="U19" s="994">
        <v>1595</v>
      </c>
      <c r="V19" s="996">
        <v>1700</v>
      </c>
    </row>
    <row r="20" spans="1:37" ht="15" customHeight="1" x14ac:dyDescent="0.25">
      <c r="B20" s="3013" t="s">
        <v>111</v>
      </c>
      <c r="C20" s="3014"/>
      <c r="D20" s="1411">
        <f>IF(OR(KANBIBerekend&lt;K17,AND(E11&gt;=$V$17,$E$12="Ja")),0,$E$11-$D$18)</f>
        <v>0</v>
      </c>
      <c r="E20" s="1412"/>
      <c r="J20" s="1428">
        <v>3</v>
      </c>
      <c r="K20" s="994">
        <v>350</v>
      </c>
      <c r="L20" s="994">
        <v>505</v>
      </c>
      <c r="M20" s="994">
        <v>655</v>
      </c>
      <c r="N20" s="994">
        <v>805</v>
      </c>
      <c r="O20" s="994">
        <v>950</v>
      </c>
      <c r="P20" s="994">
        <v>1090</v>
      </c>
      <c r="Q20" s="994">
        <v>1220</v>
      </c>
      <c r="R20" s="994">
        <v>1350</v>
      </c>
      <c r="S20" s="994">
        <v>1480</v>
      </c>
      <c r="T20" s="994">
        <v>1605</v>
      </c>
      <c r="U20" s="994">
        <v>1725</v>
      </c>
      <c r="V20" s="996">
        <v>1845</v>
      </c>
    </row>
    <row r="21" spans="1:37" ht="15" customHeight="1" thickBot="1" x14ac:dyDescent="0.3">
      <c r="B21" s="3015" t="s">
        <v>113</v>
      </c>
      <c r="C21" s="3016"/>
      <c r="D21" s="1413">
        <f>IF(AND($E$11&gt;=$V$17,$E$12="Ja"),0,$E$18-$D$18)</f>
        <v>1999.999</v>
      </c>
      <c r="E21" s="243"/>
      <c r="J21" s="1429">
        <v>4</v>
      </c>
      <c r="K21" s="995">
        <v>420</v>
      </c>
      <c r="L21" s="995">
        <v>605</v>
      </c>
      <c r="M21" s="995">
        <v>785</v>
      </c>
      <c r="N21" s="995">
        <v>965</v>
      </c>
      <c r="O21" s="995">
        <v>1140</v>
      </c>
      <c r="P21" s="995">
        <v>1305</v>
      </c>
      <c r="Q21" s="995">
        <v>1470</v>
      </c>
      <c r="R21" s="995">
        <v>1630</v>
      </c>
      <c r="S21" s="995">
        <v>1785</v>
      </c>
      <c r="T21" s="995">
        <v>1940</v>
      </c>
      <c r="U21" s="995">
        <v>2090</v>
      </c>
      <c r="V21" s="997">
        <v>2240</v>
      </c>
    </row>
    <row r="22" spans="1:37" ht="15" customHeight="1" thickBot="1" x14ac:dyDescent="0.3">
      <c r="B22" s="3017" t="s">
        <v>114</v>
      </c>
      <c r="C22" s="3018"/>
      <c r="D22" s="1414">
        <f>IF(AND($E$11&gt;=$V$17,$E$12="Ja"),0,($D$20/$D$21)*($E$19-$D$19))</f>
        <v>0</v>
      </c>
      <c r="E22" s="243"/>
      <c r="L22"/>
    </row>
    <row r="23" spans="1:37" ht="15" customHeight="1" thickBot="1" x14ac:dyDescent="0.3">
      <c r="B23" s="2997" t="s">
        <v>297</v>
      </c>
      <c r="C23" s="2998"/>
      <c r="D23" s="618">
        <f>IF(AND($E$11&gt;=$V$17,$E$12="Ja"),$E$19,(($E$11-$D$18)/(($E$18-$D$18))*($E$19-$D$19))+$D$19)</f>
        <v>0</v>
      </c>
      <c r="E23" s="419"/>
      <c r="L23"/>
    </row>
    <row r="24" spans="1:37" ht="15" customHeight="1" thickBot="1" x14ac:dyDescent="0.3">
      <c r="M24" s="3046" t="str">
        <f>BGPartner_AP</f>
        <v>A. Plichtig</v>
      </c>
      <c r="N24" s="3047"/>
      <c r="O24" s="3048"/>
      <c r="P24" s="3049"/>
      <c r="Q24" s="3046" t="str">
        <f>BGPartner_AG</f>
        <v>A. Gerechtigd</v>
      </c>
      <c r="R24" s="3047"/>
      <c r="S24" s="3048"/>
      <c r="T24" s="3049"/>
      <c r="AD24" s="3046" t="str">
        <f>BGPartner_AP</f>
        <v>A. Plichtig</v>
      </c>
      <c r="AE24" s="3047"/>
      <c r="AF24" s="3048"/>
      <c r="AG24" s="3049"/>
      <c r="AH24" s="3046" t="str">
        <f>BGPartner_AG</f>
        <v>A. Gerechtigd</v>
      </c>
      <c r="AI24" s="3047"/>
      <c r="AJ24" s="3048"/>
      <c r="AK24" s="3049"/>
    </row>
    <row r="25" spans="1:37" ht="15" customHeight="1" thickBot="1" x14ac:dyDescent="0.3">
      <c r="F25" s="2726" t="s">
        <v>589</v>
      </c>
      <c r="G25" s="2730" t="s">
        <v>255</v>
      </c>
      <c r="H25" s="2690" t="s">
        <v>254</v>
      </c>
      <c r="I25" s="2"/>
      <c r="J25" s="2690" t="s">
        <v>257</v>
      </c>
      <c r="K25" s="2690" t="s">
        <v>768</v>
      </c>
      <c r="L25" s="2717" t="s">
        <v>767</v>
      </c>
      <c r="M25" s="2726" t="s">
        <v>287</v>
      </c>
      <c r="N25" s="3042" t="s">
        <v>244</v>
      </c>
      <c r="O25" s="2730" t="s">
        <v>779</v>
      </c>
      <c r="P25" s="3054" t="s">
        <v>426</v>
      </c>
      <c r="Q25" s="2726" t="s">
        <v>287</v>
      </c>
      <c r="R25" s="3042" t="s">
        <v>244</v>
      </c>
      <c r="S25" s="2730" t="s">
        <v>779</v>
      </c>
      <c r="T25" s="2730" t="s">
        <v>426</v>
      </c>
      <c r="AD25" s="2726" t="s">
        <v>287</v>
      </c>
      <c r="AE25" s="3042" t="s">
        <v>244</v>
      </c>
      <c r="AF25" s="2730" t="s">
        <v>779</v>
      </c>
      <c r="AG25" s="3054" t="s">
        <v>426</v>
      </c>
      <c r="AH25" s="2726" t="s">
        <v>287</v>
      </c>
      <c r="AI25" s="3042" t="s">
        <v>244</v>
      </c>
      <c r="AJ25" s="3054" t="s">
        <v>779</v>
      </c>
      <c r="AK25" s="2726" t="s">
        <v>426</v>
      </c>
    </row>
    <row r="26" spans="1:37" ht="15" customHeight="1" x14ac:dyDescent="0.25">
      <c r="F26" s="3052"/>
      <c r="G26" s="3050"/>
      <c r="H26" s="2859"/>
      <c r="I26" s="2717" t="str">
        <f>Basisgegevens!C308</f>
        <v>Kind valt onder de zorg / regie van</v>
      </c>
      <c r="J26" s="2859"/>
      <c r="K26" s="2859"/>
      <c r="L26" s="2904"/>
      <c r="M26" s="3052"/>
      <c r="N26" s="3043"/>
      <c r="O26" s="3050"/>
      <c r="P26" s="3055"/>
      <c r="Q26" s="3052"/>
      <c r="R26" s="3043"/>
      <c r="S26" s="3050"/>
      <c r="T26" s="3050"/>
      <c r="AD26" s="3052"/>
      <c r="AE26" s="3043"/>
      <c r="AF26" s="3050"/>
      <c r="AG26" s="3055"/>
      <c r="AH26" s="3052"/>
      <c r="AI26" s="3043"/>
      <c r="AJ26" s="3055"/>
      <c r="AK26" s="3052"/>
    </row>
    <row r="27" spans="1:37" ht="15" customHeight="1" thickBot="1" x14ac:dyDescent="0.3">
      <c r="F27" s="3073"/>
      <c r="G27" s="3075"/>
      <c r="H27" s="3077"/>
      <c r="I27" s="2904"/>
      <c r="J27" s="3060"/>
      <c r="K27" s="3060"/>
      <c r="L27" s="2790"/>
      <c r="M27" s="3053"/>
      <c r="N27" s="3044"/>
      <c r="O27" s="3051"/>
      <c r="P27" s="3056"/>
      <c r="Q27" s="3053"/>
      <c r="R27" s="3044"/>
      <c r="S27" s="3051"/>
      <c r="T27" s="3051"/>
      <c r="AD27" s="3053"/>
      <c r="AE27" s="3044"/>
      <c r="AF27" s="3051"/>
      <c r="AG27" s="3056"/>
      <c r="AH27" s="3053"/>
      <c r="AI27" s="3044"/>
      <c r="AJ27" s="3056"/>
      <c r="AK27" s="3053"/>
    </row>
    <row r="28" spans="1:37" ht="15" customHeight="1" thickBot="1" x14ac:dyDescent="0.3">
      <c r="A28" s="719" t="s">
        <v>223</v>
      </c>
      <c r="B28" s="908" t="s">
        <v>252</v>
      </c>
      <c r="C28" s="225" t="s">
        <v>246</v>
      </c>
      <c r="D28" s="225" t="s">
        <v>253</v>
      </c>
      <c r="E28" s="1382" t="s">
        <v>566</v>
      </c>
      <c r="F28" s="3074"/>
      <c r="G28" s="3076"/>
      <c r="H28" s="3077"/>
      <c r="I28" s="2718"/>
      <c r="J28" s="3061"/>
      <c r="K28" s="3061"/>
      <c r="L28" s="2865"/>
      <c r="M28" s="2727"/>
      <c r="N28" s="3045"/>
      <c r="O28" s="2731"/>
      <c r="P28" s="3057"/>
      <c r="Q28" s="2727"/>
      <c r="R28" s="3045"/>
      <c r="S28" s="2731"/>
      <c r="T28" s="2731"/>
      <c r="U28" s="2918" t="s">
        <v>316</v>
      </c>
      <c r="V28" s="3035"/>
      <c r="W28" s="3035"/>
      <c r="X28" s="3035"/>
      <c r="Y28" s="3035"/>
      <c r="Z28" s="3035"/>
      <c r="AA28" s="3035"/>
      <c r="AB28" s="3035"/>
      <c r="AC28" s="2919"/>
      <c r="AD28" s="2727"/>
      <c r="AE28" s="3045"/>
      <c r="AF28" s="2731"/>
      <c r="AG28" s="3057"/>
      <c r="AH28" s="2727"/>
      <c r="AI28" s="3045"/>
      <c r="AJ28" s="3057"/>
      <c r="AK28" s="2727"/>
    </row>
    <row r="29" spans="1:37" ht="15" customHeight="1" x14ac:dyDescent="0.25">
      <c r="A29" s="752">
        <v>1</v>
      </c>
      <c r="B29" s="904" t="str">
        <f>IF(Basisgegevens!B310="","--",Basisgegevens!B310)</f>
        <v>--</v>
      </c>
      <c r="C29" s="905" t="str">
        <f>IF(Basisgegevens!E310="","--",Basisgegevens!E310)</f>
        <v>--</v>
      </c>
      <c r="D29" s="906" t="str">
        <f>IF(Basisgegevens!E327="","--",Basisgegevens!E327)</f>
        <v>--</v>
      </c>
      <c r="E29" s="907" t="str">
        <f>IF(D29="--","--",IF(AND($D29&gt;=21,BGKind21Wel="Nee"),"n.v.t",Basisgegevens!F327))</f>
        <v>--</v>
      </c>
      <c r="F29" s="2304" t="str">
        <f>IF(D29="--","--",IF(OR(AND($D29&gt;=21,BGKind21Wel="Nee"),Basisgegevens!$F327="Zelfvoorzienend"),"n.v.t",IF(OR(LEFT(Basisgegevens!$F327,3)="MBO",LEFT(Basisgegevens!$F327,6)="HBO/WO"),Basisgegevens!$J327,KAEigenAandeel/(KAKindTotaalAantal+$L$12+$L$13))))</f>
        <v>--</v>
      </c>
      <c r="G29" s="2300">
        <f>IF(OR(E29="--",E29="???",F29="n.v.t"),0,Basisgegevens!F310)</f>
        <v>0</v>
      </c>
      <c r="H29" s="426">
        <f>IF(OR(F29="n.v.t",F29="--"),0,F29+G29)</f>
        <v>0</v>
      </c>
      <c r="I29" s="423" t="str">
        <f>IF(Basisgegevens!C310=1,BGPartner_AP,IF(Basisgegevens!D310=1,BGPartner_AG,"--"))</f>
        <v>--</v>
      </c>
      <c r="J29" s="1424">
        <f>Basisgegevens!G310</f>
        <v>0.15</v>
      </c>
      <c r="K29" s="194">
        <f t="shared" ref="K29:K40" si="0">IF(OR($F29="n.v.t",$F29="--",$F29&lt;0),0,(KAEigenAandeel/(KAKindTotaalAantal+$L$12+$L$13))*J29)</f>
        <v>0</v>
      </c>
      <c r="L29" s="157">
        <f t="shared" ref="L29:L40" si="1">IF(OR($F29="n.v.t",$F29="--",$F29&lt;0),0,IF(K29-(K29*KAKortingDraagkracht)&lt;0.01,0,K29-(K29*KAKortingDraagkracht)))</f>
        <v>0</v>
      </c>
      <c r="M29" s="194">
        <f t="shared" ref="M29:M40" si="2">IF(OR($F29="n.v.t",$F29="--",$F29&lt;0),0,IF(KADraagkrachtTekort&gt;0,(KADraagkracht_AP/KADraagkracht_Tot)*$H29,(KADraagkracht_AP/KADraagkracht_Tot)*$H29*(KADraagkracht_Tot/$H$41)))</f>
        <v>0</v>
      </c>
      <c r="N29" s="1438">
        <f t="shared" ref="N29:N40" si="3">IF(OR($F29="n.v.t",$F29="--",,$F29&lt;0),0,IF(BGPartner_AP=$I29,0,IF(O29&lt;0,$K29+O29,$K29)))</f>
        <v>0</v>
      </c>
      <c r="O29" s="1439">
        <f t="shared" ref="O29:O40" si="4">IF(OR($F29="n.v.t",$F29="--",,$F29&lt;0),0,IF(BGPartner_AP=$I29,IF(AND(Q29=0,S29&lt;0),$L29,IF(AND(Q29&gt;0,S29&lt;0),$L29-Q29,0)),M29-$L29))</f>
        <v>0</v>
      </c>
      <c r="P29" s="1435">
        <f t="shared" ref="P29:P40" si="5">IF(OR($F29="n.v.t",$F29="--",$F29&lt;0),0,IF(BGPartner_AP=$I29,IF(OR(AND(Q29=0,S29&lt;0),AND(Q29&gt;0,S29&lt;0)),$H29-$K29,$H29-$K29-S29),0))</f>
        <v>0</v>
      </c>
      <c r="Q29" s="194">
        <f t="shared" ref="Q29:Q40" si="6">IF(OR($F29="n.v.t",$F29="--",F29&lt;0),0,IF(KADraagkrachtTekort&gt;0,(KADraagkracht_AG/KADraagkracht_Tot)*$H29,(KADraagkracht_AG/KADraagkracht_Tot)*$H29*(KADraagkracht_Tot/$H$41)))</f>
        <v>0</v>
      </c>
      <c r="R29" s="1438">
        <f>IF(OR($F29="n.v.t",$F29="--",$F29&lt;0),0,IF(BGPartner_AG=$I29,0,IF(S29&lt;0,$K29+S29,$K29)))</f>
        <v>0</v>
      </c>
      <c r="S29" s="1439">
        <f>IF(OR($F29="n.v.t",$F29="--",$F29&lt;0),0,IF(BGPartner_AG=$I29,IF(AND(M29=0,O29&lt;0),$L29,IF(AND(M29&gt;0,O29&lt;0),$L29-Q29,0)),Q29-$L29))</f>
        <v>0</v>
      </c>
      <c r="T29" s="1435">
        <f>IF(OR($F29="n.v.t",$F29="--",$F29&lt;0),0,IF(BGPartner_AG=$I29,IF(OR(AND(M29=0,O29&lt;0),AND(M29&gt;0,O29&lt;0)),$H29-$K29,$H29-$K29-O29),0))</f>
        <v>0</v>
      </c>
      <c r="U29" s="3036" t="str">
        <f t="shared" ref="U29:U40" si="7">IF(OR($F29="n.v.t",$F29="--"),"--",IF(O29&lt;0,CONCATENATE("Negatieve zorgkorting bij ",$M$24,", deze toewijzen aan ",$Q$24),IF(S29&lt;0,CONCATENATE("Negatieve zorgkorting bij ",$Q$24,", deze toewijzen aan ",$M$24),"--")))</f>
        <v>--</v>
      </c>
      <c r="V29" s="3037"/>
      <c r="W29" s="3037"/>
      <c r="X29" s="3037"/>
      <c r="Y29" s="3037"/>
      <c r="Z29" s="3037"/>
      <c r="AA29" s="3037"/>
      <c r="AB29" s="3037"/>
      <c r="AC29" s="3038"/>
      <c r="AD29" s="194">
        <f t="shared" ref="AD29:AD40" si="8">IF(OR($F29="n.v.t",$F29="--",$F29&lt;0),0,IF(KADraagkrachtTekort_Z_KGB&gt;0,(KADraagkracht_AP_Z_KGB/KADraagkracht_Tot_Z_KGB)*$H29,(KADraagkracht_AP_Z_KGB/KADraagkracht_Tot_Z_KGB)*$H29*(KADraagkracht_Tot_Z_KGB/$H$41)))</f>
        <v>0</v>
      </c>
      <c r="AE29" s="1438">
        <f t="shared" ref="AE29:AE40" si="9">IF(OR($F29="n.v.t",$F29="--",,$F29&lt;0),0,IF(BGPartner_AP=$I29,0,IF(AF29&lt;0,$K29+AF29,$K29)))</f>
        <v>0</v>
      </c>
      <c r="AF29" s="1439">
        <f t="shared" ref="AF29:AF40" si="10">IF(OR($F29="n.v.t",$F29="--",,$F29&lt;0),0,IF(BGPartner_AP=$I29,IF(AND(AH29=0,AJ29&lt;0),$L29,IF(AND(AH29&gt;0,AJ29&lt;0),$L29-AH29,0)),AD29-$L29))</f>
        <v>0</v>
      </c>
      <c r="AG29" s="1435">
        <f t="shared" ref="AG29:AG40" si="11">IF(OR($F29="n.v.t",$F29="--",$F29&lt;0),0,IF(BGPartner_AP=$I29,IF(OR(AND(AH29=0,AJ29&lt;0),AND(AH29&gt;0,AJ29&lt;0)),$H29-$K29,$H29-$K29-AJ29),0))</f>
        <v>0</v>
      </c>
      <c r="AH29" s="194">
        <f t="shared" ref="AH29:AH40" si="12">IF(OR($F29="n.v.t",$F29="--",W29&lt;0),0,IF(KADraagkrachtTekort_Z_KGB&gt;0,(KADraagkracht_AG_Z_KGB/KADraagkracht_Tot_Z_KGB)*$H29,(KADraagkracht_AG_Z_KGB/KADraagkracht_Tot_Z_KGB)*$H29*(KADraagkracht_Tot_Z_KGB/$H$41)))</f>
        <v>0</v>
      </c>
      <c r="AI29" s="1438">
        <f t="shared" ref="AI29:AI40" si="13">IF(OR($F29="n.v.t",$F29="--",$F29&lt;0),0,IF(BGPartner_AG=$I29,0,IF(AJ29&lt;0,$K29+AJ29,$K29)))</f>
        <v>0</v>
      </c>
      <c r="AJ29" s="1435">
        <f t="shared" ref="AJ29:AJ40" si="14">IF(OR($F29="n.v.t",$F29="--",$F29&lt;0),0,IF(BGPartner_AG=$I29,IF(AND(AD29=0,AF29&lt;0),$L29,IF(AND(AD29&gt;0,AF29&lt;0),$L29-AH29,0)),AH29-$L29))</f>
        <v>0</v>
      </c>
      <c r="AK29" s="194">
        <f t="shared" ref="AK29:AK40" si="15">IF(OR($F29="n.v.t",$F29="--",$F29&lt;0),0,IF(BGPartner_AG=$I29,IF(OR(AND(AD29=0,AF29&lt;0),AND(AD29&gt;0,AF29&lt;0)),$H29-$K29,$H29-$K29-AF29),0))</f>
        <v>0</v>
      </c>
    </row>
    <row r="30" spans="1:37" ht="15" customHeight="1" x14ac:dyDescent="0.25">
      <c r="A30" s="753">
        <v>2</v>
      </c>
      <c r="B30" s="755" t="str">
        <f>IF(Basisgegevens!B311="","--",Basisgegevens!B311)</f>
        <v>--</v>
      </c>
      <c r="C30" s="126" t="str">
        <f>IF(Basisgegevens!E311="","--",Basisgegevens!E311)</f>
        <v>--</v>
      </c>
      <c r="D30" s="127" t="str">
        <f>IF(Basisgegevens!E328="","--",Basisgegevens!E328)</f>
        <v>--</v>
      </c>
      <c r="E30" s="756" t="str">
        <f>IF(D30="--","--",IF(AND($D30&gt;=21,BGKind21Wel="Nee"),"n.v.t",Basisgegevens!F328))</f>
        <v>--</v>
      </c>
      <c r="F30" s="2303" t="str">
        <f>IF(D30="--","--",IF(OR(AND($D30&gt;=21,BGKind21Wel="Nee"),Basisgegevens!$F328="Zelfvoorzienend"),"n.v.t",IF(OR(LEFT(Basisgegevens!$F328,3)="MBO",LEFT(Basisgegevens!$F328,6)="HBO/WO"),Basisgegevens!$J328,KAEigenAandeel/(KAKindTotaalAantal+$L$12+$L$13))))</f>
        <v>--</v>
      </c>
      <c r="G30" s="2301">
        <f>IF(OR(E30="--",E30="???",F30="n.v.t"),0,Basisgegevens!F311)</f>
        <v>0</v>
      </c>
      <c r="H30" s="427">
        <f t="shared" ref="H30:H34" si="16">IF(OR(F30="n.v.t",F30="--"),0,F30+G30)</f>
        <v>0</v>
      </c>
      <c r="I30" s="424" t="str">
        <f>IF(Basisgegevens!C311=1,BGPartner_AP,IF(Basisgegevens!D311=1,BGPartner_AG,"--"))</f>
        <v>--</v>
      </c>
      <c r="J30" s="1425">
        <f>Basisgegevens!G311</f>
        <v>0.15</v>
      </c>
      <c r="K30" s="194">
        <f t="shared" si="0"/>
        <v>0</v>
      </c>
      <c r="L30" s="157">
        <f t="shared" si="1"/>
        <v>0</v>
      </c>
      <c r="M30" s="154">
        <f t="shared" si="2"/>
        <v>0</v>
      </c>
      <c r="N30" s="1440">
        <f t="shared" si="3"/>
        <v>0</v>
      </c>
      <c r="O30" s="1441">
        <f t="shared" si="4"/>
        <v>0</v>
      </c>
      <c r="P30" s="1436">
        <f t="shared" si="5"/>
        <v>0</v>
      </c>
      <c r="Q30" s="154">
        <f t="shared" si="6"/>
        <v>0</v>
      </c>
      <c r="R30" s="1440">
        <f t="shared" ref="R30:R40" si="17">IF(OR($F30="n.v.t",$F30="--",$F30&lt;0),0,IF(BGPartner_AG=$I30,0,IF(S30&lt;0,K30+S30,K30)))</f>
        <v>0</v>
      </c>
      <c r="S30" s="1441">
        <f t="shared" ref="S30:S40" si="18">IF(OR($F30="n.v.t",$F30="--",$F30&lt;0),0,IF(BGPartner_AG=$I30,IF(AND(M30=0,O30&lt;0),L30,IF(AND(M30&gt;0,O30&lt;0),L30-Q30,0)),Q30-$L30))</f>
        <v>0</v>
      </c>
      <c r="T30" s="1436">
        <f t="shared" ref="T30:T40" si="19">IF(OR($F30="n.v.t",$F30="--",$F30&lt;0),0,IF(BGPartner_AG=$I30,IF(OR(AND(M30=0,O30&lt;0),AND(M30&gt;0,O30&lt;0)),H30-K30,H30-K30-O30),0))</f>
        <v>0</v>
      </c>
      <c r="U30" s="3029" t="str">
        <f t="shared" si="7"/>
        <v>--</v>
      </c>
      <c r="V30" s="3030"/>
      <c r="W30" s="3030"/>
      <c r="X30" s="3030"/>
      <c r="Y30" s="3030"/>
      <c r="Z30" s="3030"/>
      <c r="AA30" s="3030"/>
      <c r="AB30" s="3030"/>
      <c r="AC30" s="3031"/>
      <c r="AD30" s="154">
        <f t="shared" si="8"/>
        <v>0</v>
      </c>
      <c r="AE30" s="1440">
        <f t="shared" si="9"/>
        <v>0</v>
      </c>
      <c r="AF30" s="1441">
        <f t="shared" si="10"/>
        <v>0</v>
      </c>
      <c r="AG30" s="1436">
        <f t="shared" si="11"/>
        <v>0</v>
      </c>
      <c r="AH30" s="154">
        <f t="shared" si="12"/>
        <v>0</v>
      </c>
      <c r="AI30" s="1440">
        <f t="shared" si="13"/>
        <v>0</v>
      </c>
      <c r="AJ30" s="1436">
        <f t="shared" si="14"/>
        <v>0</v>
      </c>
      <c r="AK30" s="154">
        <f t="shared" si="15"/>
        <v>0</v>
      </c>
    </row>
    <row r="31" spans="1:37" ht="15" customHeight="1" x14ac:dyDescent="0.25">
      <c r="A31" s="753">
        <v>3</v>
      </c>
      <c r="B31" s="755" t="str">
        <f>IF(Basisgegevens!B312="","--",Basisgegevens!B312)</f>
        <v>--</v>
      </c>
      <c r="C31" s="126" t="str">
        <f>IF(Basisgegevens!E312="","--",Basisgegevens!E312)</f>
        <v>--</v>
      </c>
      <c r="D31" s="127" t="str">
        <f>IF(Basisgegevens!E329="","--",Basisgegevens!E329)</f>
        <v>--</v>
      </c>
      <c r="E31" s="756" t="str">
        <f>IF(D31="--","--",IF(AND($D31&gt;=21,BGKind21Wel="Nee"),"n.v.t",Basisgegevens!F329))</f>
        <v>--</v>
      </c>
      <c r="F31" s="2303" t="str">
        <f>IF(D31="--","--",IF(OR(AND($D31&gt;=21,BGKind21Wel="Nee"),Basisgegevens!$F329="Zelfvoorzienend"),"n.v.t",IF(OR(LEFT(Basisgegevens!$F329,3)="MBO",LEFT(Basisgegevens!$F329,6)="HBO/WO"),Basisgegevens!$J329,KAEigenAandeel/(KAKindTotaalAantal+$L$12+$L$13))))</f>
        <v>--</v>
      </c>
      <c r="G31" s="2301">
        <f>IF(OR(E31="--",E31="???",F31="n.v.t"),0,Basisgegevens!F312)</f>
        <v>0</v>
      </c>
      <c r="H31" s="427">
        <f t="shared" si="16"/>
        <v>0</v>
      </c>
      <c r="I31" s="424" t="str">
        <f>IF(Basisgegevens!C312=1,BGPartner_AP,IF(Basisgegevens!D312=1,BGPartner_AG,"--"))</f>
        <v>--</v>
      </c>
      <c r="J31" s="1425">
        <f>Basisgegevens!G312</f>
        <v>0.15</v>
      </c>
      <c r="K31" s="194">
        <f t="shared" si="0"/>
        <v>0</v>
      </c>
      <c r="L31" s="157">
        <f t="shared" si="1"/>
        <v>0</v>
      </c>
      <c r="M31" s="154">
        <f t="shared" si="2"/>
        <v>0</v>
      </c>
      <c r="N31" s="1440">
        <f t="shared" si="3"/>
        <v>0</v>
      </c>
      <c r="O31" s="1441">
        <f t="shared" si="4"/>
        <v>0</v>
      </c>
      <c r="P31" s="1436">
        <f t="shared" si="5"/>
        <v>0</v>
      </c>
      <c r="Q31" s="154">
        <f t="shared" si="6"/>
        <v>0</v>
      </c>
      <c r="R31" s="1440">
        <f t="shared" si="17"/>
        <v>0</v>
      </c>
      <c r="S31" s="1441">
        <f t="shared" si="18"/>
        <v>0</v>
      </c>
      <c r="T31" s="1436">
        <f t="shared" si="19"/>
        <v>0</v>
      </c>
      <c r="U31" s="3029" t="str">
        <f t="shared" si="7"/>
        <v>--</v>
      </c>
      <c r="V31" s="3030"/>
      <c r="W31" s="3030"/>
      <c r="X31" s="3030"/>
      <c r="Y31" s="3030"/>
      <c r="Z31" s="3030"/>
      <c r="AA31" s="3030"/>
      <c r="AB31" s="3030"/>
      <c r="AC31" s="3031"/>
      <c r="AD31" s="154">
        <f t="shared" si="8"/>
        <v>0</v>
      </c>
      <c r="AE31" s="1440">
        <f t="shared" si="9"/>
        <v>0</v>
      </c>
      <c r="AF31" s="1441">
        <f t="shared" si="10"/>
        <v>0</v>
      </c>
      <c r="AG31" s="1436">
        <f t="shared" si="11"/>
        <v>0</v>
      </c>
      <c r="AH31" s="154">
        <f t="shared" si="12"/>
        <v>0</v>
      </c>
      <c r="AI31" s="1440">
        <f t="shared" si="13"/>
        <v>0</v>
      </c>
      <c r="AJ31" s="1436">
        <f t="shared" si="14"/>
        <v>0</v>
      </c>
      <c r="AK31" s="154">
        <f t="shared" si="15"/>
        <v>0</v>
      </c>
    </row>
    <row r="32" spans="1:37" ht="15" customHeight="1" x14ac:dyDescent="0.25">
      <c r="A32" s="753">
        <v>4</v>
      </c>
      <c r="B32" s="755" t="str">
        <f>IF(Basisgegevens!B313="","--",Basisgegevens!B313)</f>
        <v>--</v>
      </c>
      <c r="C32" s="126" t="str">
        <f>IF(Basisgegevens!E313="","--",Basisgegevens!E313)</f>
        <v>--</v>
      </c>
      <c r="D32" s="127" t="str">
        <f>IF(Basisgegevens!E330="","--",Basisgegevens!E330)</f>
        <v>--</v>
      </c>
      <c r="E32" s="756" t="str">
        <f>IF(D32="--","--",IF(AND($D32&gt;=21,BGKind21Wel="Nee"),"n.v.t",Basisgegevens!F330))</f>
        <v>--</v>
      </c>
      <c r="F32" s="2303" t="str">
        <f>IF(D32="--","--",IF(OR(AND($D32&gt;=21,BGKind21Wel="Nee"),Basisgegevens!$F330="Zelfvoorzienend"),"n.v.t",IF(OR(LEFT(Basisgegevens!$F330,3)="MBO",LEFT(Basisgegevens!$F330,6)="HBO/WO"),Basisgegevens!$J330,KAEigenAandeel/(KAKindTotaalAantal+$L$12+$L$13))))</f>
        <v>--</v>
      </c>
      <c r="G32" s="2301">
        <f>IF(OR(E32="--",E32="???",F32="n.v.t"),0,Basisgegevens!F313)</f>
        <v>0</v>
      </c>
      <c r="H32" s="427">
        <f t="shared" si="16"/>
        <v>0</v>
      </c>
      <c r="I32" s="424" t="str">
        <f>IF(Basisgegevens!C313=1,BGPartner_AP,IF(Basisgegevens!D313=1,BGPartner_AG,"--"))</f>
        <v>--</v>
      </c>
      <c r="J32" s="1425">
        <f>Basisgegevens!G313</f>
        <v>0.15</v>
      </c>
      <c r="K32" s="194">
        <f t="shared" si="0"/>
        <v>0</v>
      </c>
      <c r="L32" s="157">
        <f t="shared" si="1"/>
        <v>0</v>
      </c>
      <c r="M32" s="154">
        <f t="shared" si="2"/>
        <v>0</v>
      </c>
      <c r="N32" s="1440">
        <f t="shared" si="3"/>
        <v>0</v>
      </c>
      <c r="O32" s="1441">
        <f t="shared" si="4"/>
        <v>0</v>
      </c>
      <c r="P32" s="1436">
        <f t="shared" si="5"/>
        <v>0</v>
      </c>
      <c r="Q32" s="154">
        <f t="shared" si="6"/>
        <v>0</v>
      </c>
      <c r="R32" s="1440">
        <f t="shared" si="17"/>
        <v>0</v>
      </c>
      <c r="S32" s="1441">
        <f t="shared" si="18"/>
        <v>0</v>
      </c>
      <c r="T32" s="1436">
        <f t="shared" si="19"/>
        <v>0</v>
      </c>
      <c r="U32" s="3029" t="str">
        <f t="shared" si="7"/>
        <v>--</v>
      </c>
      <c r="V32" s="3030"/>
      <c r="W32" s="3030"/>
      <c r="X32" s="3030"/>
      <c r="Y32" s="3030"/>
      <c r="Z32" s="3030"/>
      <c r="AA32" s="3030"/>
      <c r="AB32" s="3030"/>
      <c r="AC32" s="3031"/>
      <c r="AD32" s="154">
        <f t="shared" si="8"/>
        <v>0</v>
      </c>
      <c r="AE32" s="1440">
        <f t="shared" si="9"/>
        <v>0</v>
      </c>
      <c r="AF32" s="1441">
        <f t="shared" si="10"/>
        <v>0</v>
      </c>
      <c r="AG32" s="1436">
        <f t="shared" si="11"/>
        <v>0</v>
      </c>
      <c r="AH32" s="154">
        <f t="shared" si="12"/>
        <v>0</v>
      </c>
      <c r="AI32" s="1440">
        <f t="shared" si="13"/>
        <v>0</v>
      </c>
      <c r="AJ32" s="1436">
        <f t="shared" si="14"/>
        <v>0</v>
      </c>
      <c r="AK32" s="154">
        <f t="shared" si="15"/>
        <v>0</v>
      </c>
    </row>
    <row r="33" spans="1:37" ht="15" customHeight="1" x14ac:dyDescent="0.25">
      <c r="A33" s="753">
        <v>5</v>
      </c>
      <c r="B33" s="755" t="str">
        <f>IF(Basisgegevens!B314="","--",Basisgegevens!B314)</f>
        <v>--</v>
      </c>
      <c r="C33" s="126" t="str">
        <f>IF(Basisgegevens!E314="","--",Basisgegevens!E314)</f>
        <v>--</v>
      </c>
      <c r="D33" s="127" t="str">
        <f>IF(Basisgegevens!E331="","--",Basisgegevens!E331)</f>
        <v>--</v>
      </c>
      <c r="E33" s="756" t="str">
        <f>IF(D33="--","--",IF(AND($D33&gt;=21,BGKind21Wel="Nee"),"n.v.t",Basisgegevens!F331))</f>
        <v>--</v>
      </c>
      <c r="F33" s="2303" t="str">
        <f>IF(D33="--","--",IF(OR(AND($D33&gt;=21,BGKind21Wel="Nee"),Basisgegevens!$F331="Zelfvoorzienend"),"n.v.t",IF(OR(LEFT(Basisgegevens!$F331,3)="MBO",LEFT(Basisgegevens!$F331,6)="HBO/WO"),Basisgegevens!$J331,KAEigenAandeel/(KAKindTotaalAantal+$L$12+$L$13))))</f>
        <v>--</v>
      </c>
      <c r="G33" s="2301">
        <f>IF(OR(E33="--",E33="???",F33="n.v.t"),0,Basisgegevens!F314)</f>
        <v>0</v>
      </c>
      <c r="H33" s="427">
        <f t="shared" si="16"/>
        <v>0</v>
      </c>
      <c r="I33" s="424" t="str">
        <f>IF(Basisgegevens!C314=1,BGPartner_AP,IF(Basisgegevens!D314=1,BGPartner_AG,"--"))</f>
        <v>--</v>
      </c>
      <c r="J33" s="1425">
        <f>Basisgegevens!G314</f>
        <v>0.15</v>
      </c>
      <c r="K33" s="194">
        <f t="shared" si="0"/>
        <v>0</v>
      </c>
      <c r="L33" s="157">
        <f t="shared" si="1"/>
        <v>0</v>
      </c>
      <c r="M33" s="154">
        <f t="shared" si="2"/>
        <v>0</v>
      </c>
      <c r="N33" s="1440">
        <f t="shared" si="3"/>
        <v>0</v>
      </c>
      <c r="O33" s="1441">
        <f t="shared" si="4"/>
        <v>0</v>
      </c>
      <c r="P33" s="1436">
        <f t="shared" si="5"/>
        <v>0</v>
      </c>
      <c r="Q33" s="154">
        <f t="shared" si="6"/>
        <v>0</v>
      </c>
      <c r="R33" s="1440">
        <f t="shared" si="17"/>
        <v>0</v>
      </c>
      <c r="S33" s="1441">
        <f t="shared" si="18"/>
        <v>0</v>
      </c>
      <c r="T33" s="1436">
        <f t="shared" si="19"/>
        <v>0</v>
      </c>
      <c r="U33" s="3029" t="str">
        <f t="shared" si="7"/>
        <v>--</v>
      </c>
      <c r="V33" s="3030"/>
      <c r="W33" s="3030"/>
      <c r="X33" s="3030"/>
      <c r="Y33" s="3030"/>
      <c r="Z33" s="3030"/>
      <c r="AA33" s="3030"/>
      <c r="AB33" s="3030"/>
      <c r="AC33" s="3031"/>
      <c r="AD33" s="154">
        <f t="shared" si="8"/>
        <v>0</v>
      </c>
      <c r="AE33" s="1440">
        <f t="shared" si="9"/>
        <v>0</v>
      </c>
      <c r="AF33" s="1441">
        <f t="shared" si="10"/>
        <v>0</v>
      </c>
      <c r="AG33" s="1436">
        <f t="shared" si="11"/>
        <v>0</v>
      </c>
      <c r="AH33" s="154">
        <f t="shared" si="12"/>
        <v>0</v>
      </c>
      <c r="AI33" s="1440">
        <f t="shared" si="13"/>
        <v>0</v>
      </c>
      <c r="AJ33" s="1436">
        <f t="shared" si="14"/>
        <v>0</v>
      </c>
      <c r="AK33" s="154">
        <f t="shared" si="15"/>
        <v>0</v>
      </c>
    </row>
    <row r="34" spans="1:37" ht="15" customHeight="1" x14ac:dyDescent="0.25">
      <c r="A34" s="753">
        <v>6</v>
      </c>
      <c r="B34" s="755" t="str">
        <f>IF(Basisgegevens!B315="","--",Basisgegevens!B315)</f>
        <v>--</v>
      </c>
      <c r="C34" s="126" t="str">
        <f>IF(Basisgegevens!E315="","--",Basisgegevens!E315)</f>
        <v>--</v>
      </c>
      <c r="D34" s="127" t="str">
        <f>IF(Basisgegevens!E332="","--",Basisgegevens!E332)</f>
        <v>--</v>
      </c>
      <c r="E34" s="756" t="str">
        <f>IF(D34="--","--",IF(AND($D34&gt;=21,BGKind21Wel="Nee"),"n.v.t",Basisgegevens!F332))</f>
        <v>--</v>
      </c>
      <c r="F34" s="2303" t="str">
        <f>IF(D34="--","--",IF(OR(AND($D34&gt;=21,BGKind21Wel="Nee"),Basisgegevens!$F332="Zelfvoorzienend"),"n.v.t",IF(OR(LEFT(Basisgegevens!$F332,3)="MBO",LEFT(Basisgegevens!$F332,6)="HBO/WO"),Basisgegevens!$J332,KAEigenAandeel/(KAKindTotaalAantal+$L$12+$L$13))))</f>
        <v>--</v>
      </c>
      <c r="G34" s="2301">
        <f>IF(OR(E34="--",E34="???",F34="n.v.t"),0,Basisgegevens!F315)</f>
        <v>0</v>
      </c>
      <c r="H34" s="427">
        <f t="shared" si="16"/>
        <v>0</v>
      </c>
      <c r="I34" s="424" t="str">
        <f>IF(Basisgegevens!C315=1,BGPartner_AP,IF(Basisgegevens!D315=1,BGPartner_AG,"--"))</f>
        <v>--</v>
      </c>
      <c r="J34" s="1425">
        <f>Basisgegevens!G315</f>
        <v>0.15</v>
      </c>
      <c r="K34" s="194">
        <f t="shared" si="0"/>
        <v>0</v>
      </c>
      <c r="L34" s="157">
        <f t="shared" si="1"/>
        <v>0</v>
      </c>
      <c r="M34" s="154">
        <f t="shared" si="2"/>
        <v>0</v>
      </c>
      <c r="N34" s="1440">
        <f t="shared" si="3"/>
        <v>0</v>
      </c>
      <c r="O34" s="1441">
        <f t="shared" si="4"/>
        <v>0</v>
      </c>
      <c r="P34" s="1436">
        <f t="shared" si="5"/>
        <v>0</v>
      </c>
      <c r="Q34" s="154">
        <f t="shared" si="6"/>
        <v>0</v>
      </c>
      <c r="R34" s="1440">
        <f t="shared" si="17"/>
        <v>0</v>
      </c>
      <c r="S34" s="1441">
        <f t="shared" si="18"/>
        <v>0</v>
      </c>
      <c r="T34" s="1436">
        <f t="shared" si="19"/>
        <v>0</v>
      </c>
      <c r="U34" s="3029" t="str">
        <f t="shared" si="7"/>
        <v>--</v>
      </c>
      <c r="V34" s="3030"/>
      <c r="W34" s="3030"/>
      <c r="X34" s="3030"/>
      <c r="Y34" s="3030"/>
      <c r="Z34" s="3030"/>
      <c r="AA34" s="3030"/>
      <c r="AB34" s="3030"/>
      <c r="AC34" s="3031"/>
      <c r="AD34" s="154">
        <f t="shared" si="8"/>
        <v>0</v>
      </c>
      <c r="AE34" s="1440">
        <f t="shared" si="9"/>
        <v>0</v>
      </c>
      <c r="AF34" s="1441">
        <f t="shared" si="10"/>
        <v>0</v>
      </c>
      <c r="AG34" s="1436">
        <f t="shared" si="11"/>
        <v>0</v>
      </c>
      <c r="AH34" s="154">
        <f t="shared" si="12"/>
        <v>0</v>
      </c>
      <c r="AI34" s="1440">
        <f t="shared" si="13"/>
        <v>0</v>
      </c>
      <c r="AJ34" s="1436">
        <f t="shared" si="14"/>
        <v>0</v>
      </c>
      <c r="AK34" s="154">
        <f t="shared" si="15"/>
        <v>0</v>
      </c>
    </row>
    <row r="35" spans="1:37" ht="15" customHeight="1" x14ac:dyDescent="0.25">
      <c r="A35" s="753">
        <v>7</v>
      </c>
      <c r="B35" s="755" t="str">
        <f>IF(Basisgegevens!B316="","--",Basisgegevens!B316)</f>
        <v>--</v>
      </c>
      <c r="C35" s="126" t="str">
        <f>IF(Basisgegevens!E316="","--",Basisgegevens!E316)</f>
        <v>--</v>
      </c>
      <c r="D35" s="127" t="str">
        <f>IF(Basisgegevens!E333="","--",Basisgegevens!E333)</f>
        <v>--</v>
      </c>
      <c r="E35" s="756" t="str">
        <f>IF(D35="--","--",IF(AND($D35&gt;=21,BGKind21Wel="Nee"),"n.v.t",Basisgegevens!F333))</f>
        <v>--</v>
      </c>
      <c r="F35" s="2303" t="str">
        <f>IF(D35="--","--",IF(OR(AND($D35&gt;=21,BGKind21Wel="Nee"),Basisgegevens!$F333="Zelfvoorzienend"),"n.v.t",IF(OR(LEFT(Basisgegevens!$F333,3)="MBO",LEFT(Basisgegevens!$F333,6)="HBO/WO"),Basisgegevens!$J333,KAEigenAandeel/(KAKindTotaalAantal+$L$12+$L$13))))</f>
        <v>--</v>
      </c>
      <c r="G35" s="2301">
        <f>IF(OR(E35="--",E35="???",F35="n.v.t"),0,Basisgegevens!F316)</f>
        <v>0</v>
      </c>
      <c r="H35" s="427">
        <f>IF(OR(F35="n.v.t",F35="--"),0,F35+G35)</f>
        <v>0</v>
      </c>
      <c r="I35" s="424" t="str">
        <f>IF(Basisgegevens!C316=1,BGPartner_AP,IF(Basisgegevens!D316=1,BGPartner_AG,"--"))</f>
        <v>--</v>
      </c>
      <c r="J35" s="1425">
        <f>Basisgegevens!G316</f>
        <v>0.15</v>
      </c>
      <c r="K35" s="194">
        <f t="shared" si="0"/>
        <v>0</v>
      </c>
      <c r="L35" s="157">
        <f t="shared" si="1"/>
        <v>0</v>
      </c>
      <c r="M35" s="154">
        <f t="shared" si="2"/>
        <v>0</v>
      </c>
      <c r="N35" s="1440">
        <f t="shared" si="3"/>
        <v>0</v>
      </c>
      <c r="O35" s="1441">
        <f t="shared" si="4"/>
        <v>0</v>
      </c>
      <c r="P35" s="1436">
        <f t="shared" si="5"/>
        <v>0</v>
      </c>
      <c r="Q35" s="154">
        <f t="shared" si="6"/>
        <v>0</v>
      </c>
      <c r="R35" s="1440">
        <f t="shared" si="17"/>
        <v>0</v>
      </c>
      <c r="S35" s="1441">
        <f t="shared" si="18"/>
        <v>0</v>
      </c>
      <c r="T35" s="1436">
        <f t="shared" si="19"/>
        <v>0</v>
      </c>
      <c r="U35" s="3029" t="str">
        <f t="shared" si="7"/>
        <v>--</v>
      </c>
      <c r="V35" s="3030"/>
      <c r="W35" s="3030"/>
      <c r="X35" s="3030"/>
      <c r="Y35" s="3030"/>
      <c r="Z35" s="3030"/>
      <c r="AA35" s="3030"/>
      <c r="AB35" s="3030"/>
      <c r="AC35" s="3031"/>
      <c r="AD35" s="154">
        <f t="shared" si="8"/>
        <v>0</v>
      </c>
      <c r="AE35" s="1440">
        <f t="shared" si="9"/>
        <v>0</v>
      </c>
      <c r="AF35" s="1441">
        <f t="shared" si="10"/>
        <v>0</v>
      </c>
      <c r="AG35" s="1436">
        <f t="shared" si="11"/>
        <v>0</v>
      </c>
      <c r="AH35" s="154">
        <f t="shared" si="12"/>
        <v>0</v>
      </c>
      <c r="AI35" s="1440">
        <f t="shared" si="13"/>
        <v>0</v>
      </c>
      <c r="AJ35" s="1436">
        <f t="shared" si="14"/>
        <v>0</v>
      </c>
      <c r="AK35" s="154">
        <f t="shared" si="15"/>
        <v>0</v>
      </c>
    </row>
    <row r="36" spans="1:37" ht="15" customHeight="1" x14ac:dyDescent="0.25">
      <c r="A36" s="753">
        <v>8</v>
      </c>
      <c r="B36" s="755" t="str">
        <f>IF(Basisgegevens!B317="","--",Basisgegevens!B317)</f>
        <v>--</v>
      </c>
      <c r="C36" s="126" t="str">
        <f>IF(Basisgegevens!E317="","--",Basisgegevens!E317)</f>
        <v>--</v>
      </c>
      <c r="D36" s="127" t="str">
        <f>IF(Basisgegevens!E334="","--",Basisgegevens!E334)</f>
        <v>--</v>
      </c>
      <c r="E36" s="756" t="str">
        <f>IF(D36="--","--",IF(AND($D36&gt;=21,BGKind21Wel="Nee"),"n.v.t",Basisgegevens!F334))</f>
        <v>--</v>
      </c>
      <c r="F36" s="2303" t="str">
        <f>IF(D36="--","--",IF(OR(AND($D36&gt;=21,BGKind21Wel="Nee"),Basisgegevens!$F334="Zelfvoorzienend"),"n.v.t",IF(OR(LEFT(Basisgegevens!$F334,3)="MBO",LEFT(Basisgegevens!$F334,6)="HBO/WO"),Basisgegevens!$J334,KAEigenAandeel/(KAKindTotaalAantal+$L$12+$L$13))))</f>
        <v>--</v>
      </c>
      <c r="G36" s="2301">
        <f>IF(OR(E36="--",E36="???",F36="n.v.t"),0,Basisgegevens!F317)</f>
        <v>0</v>
      </c>
      <c r="H36" s="427">
        <f t="shared" ref="H36:H40" si="20">IF(OR(F36="n.v.t",F36="--"),0,F36+G36)</f>
        <v>0</v>
      </c>
      <c r="I36" s="424" t="str">
        <f>IF(Basisgegevens!C317=1,BGPartner_AP,IF(Basisgegevens!D317=1,BGPartner_AG,"--"))</f>
        <v>--</v>
      </c>
      <c r="J36" s="1425">
        <f>Basisgegevens!G317</f>
        <v>0.15</v>
      </c>
      <c r="K36" s="194">
        <f t="shared" si="0"/>
        <v>0</v>
      </c>
      <c r="L36" s="157">
        <f t="shared" si="1"/>
        <v>0</v>
      </c>
      <c r="M36" s="154">
        <f t="shared" si="2"/>
        <v>0</v>
      </c>
      <c r="N36" s="1440">
        <f t="shared" si="3"/>
        <v>0</v>
      </c>
      <c r="O36" s="1441">
        <f t="shared" si="4"/>
        <v>0</v>
      </c>
      <c r="P36" s="1436">
        <f t="shared" si="5"/>
        <v>0</v>
      </c>
      <c r="Q36" s="154">
        <f t="shared" si="6"/>
        <v>0</v>
      </c>
      <c r="R36" s="1440">
        <f t="shared" si="17"/>
        <v>0</v>
      </c>
      <c r="S36" s="1441">
        <f t="shared" si="18"/>
        <v>0</v>
      </c>
      <c r="T36" s="1436">
        <f t="shared" si="19"/>
        <v>0</v>
      </c>
      <c r="U36" s="3029" t="str">
        <f t="shared" si="7"/>
        <v>--</v>
      </c>
      <c r="V36" s="3030"/>
      <c r="W36" s="3030"/>
      <c r="X36" s="3030"/>
      <c r="Y36" s="3030"/>
      <c r="Z36" s="3030"/>
      <c r="AA36" s="3030"/>
      <c r="AB36" s="3030"/>
      <c r="AC36" s="3031"/>
      <c r="AD36" s="154">
        <f t="shared" si="8"/>
        <v>0</v>
      </c>
      <c r="AE36" s="1440">
        <f t="shared" si="9"/>
        <v>0</v>
      </c>
      <c r="AF36" s="1441">
        <f t="shared" si="10"/>
        <v>0</v>
      </c>
      <c r="AG36" s="1436">
        <f t="shared" si="11"/>
        <v>0</v>
      </c>
      <c r="AH36" s="154">
        <f t="shared" si="12"/>
        <v>0</v>
      </c>
      <c r="AI36" s="1440">
        <f t="shared" si="13"/>
        <v>0</v>
      </c>
      <c r="AJ36" s="1436">
        <f t="shared" si="14"/>
        <v>0</v>
      </c>
      <c r="AK36" s="154">
        <f t="shared" si="15"/>
        <v>0</v>
      </c>
    </row>
    <row r="37" spans="1:37" ht="15" customHeight="1" x14ac:dyDescent="0.25">
      <c r="A37" s="753">
        <v>9</v>
      </c>
      <c r="B37" s="755" t="str">
        <f>IF(Basisgegevens!B318="","--",Basisgegevens!B318)</f>
        <v>--</v>
      </c>
      <c r="C37" s="126" t="str">
        <f>IF(Basisgegevens!E318="","--",Basisgegevens!E318)</f>
        <v>--</v>
      </c>
      <c r="D37" s="127" t="str">
        <f>IF(Basisgegevens!E335="","--",Basisgegevens!E335)</f>
        <v>--</v>
      </c>
      <c r="E37" s="756" t="str">
        <f>IF(D37="--","--",IF(AND($D37&gt;=21,BGKind21Wel="Nee"),"n.v.t",Basisgegevens!F335))</f>
        <v>--</v>
      </c>
      <c r="F37" s="2303" t="str">
        <f>IF(D37="--","--",IF(OR(AND($D37&gt;=21,BGKind21Wel="Nee"),Basisgegevens!$F335="Zelfvoorzienend"),"n.v.t",IF(OR(LEFT(Basisgegevens!$F335,3)="MBO",LEFT(Basisgegevens!$F335,6)="HBO/WO"),Basisgegevens!$J335,KAEigenAandeel/(KAKindTotaalAantal+$L$12+$L$13))))</f>
        <v>--</v>
      </c>
      <c r="G37" s="2301">
        <f>IF(OR(E37="--",E37="???",F37="n.v.t"),0,Basisgegevens!F318)</f>
        <v>0</v>
      </c>
      <c r="H37" s="427">
        <f t="shared" si="20"/>
        <v>0</v>
      </c>
      <c r="I37" s="424" t="str">
        <f>IF(Basisgegevens!C318=1,BGPartner_AP,IF(Basisgegevens!D318=1,BGPartner_AG,"--"))</f>
        <v>--</v>
      </c>
      <c r="J37" s="1425">
        <f>Basisgegevens!G318</f>
        <v>0.15</v>
      </c>
      <c r="K37" s="194">
        <f t="shared" si="0"/>
        <v>0</v>
      </c>
      <c r="L37" s="157">
        <f t="shared" si="1"/>
        <v>0</v>
      </c>
      <c r="M37" s="154">
        <f t="shared" si="2"/>
        <v>0</v>
      </c>
      <c r="N37" s="1440">
        <f t="shared" si="3"/>
        <v>0</v>
      </c>
      <c r="O37" s="1441">
        <f t="shared" si="4"/>
        <v>0</v>
      </c>
      <c r="P37" s="1436">
        <f t="shared" si="5"/>
        <v>0</v>
      </c>
      <c r="Q37" s="154">
        <f t="shared" si="6"/>
        <v>0</v>
      </c>
      <c r="R37" s="1440">
        <f t="shared" si="17"/>
        <v>0</v>
      </c>
      <c r="S37" s="1441">
        <f t="shared" si="18"/>
        <v>0</v>
      </c>
      <c r="T37" s="1436">
        <f t="shared" si="19"/>
        <v>0</v>
      </c>
      <c r="U37" s="3029" t="str">
        <f t="shared" si="7"/>
        <v>--</v>
      </c>
      <c r="V37" s="3030"/>
      <c r="W37" s="3030"/>
      <c r="X37" s="3030"/>
      <c r="Y37" s="3030"/>
      <c r="Z37" s="3030"/>
      <c r="AA37" s="3030"/>
      <c r="AB37" s="3030"/>
      <c r="AC37" s="3031"/>
      <c r="AD37" s="154">
        <f t="shared" si="8"/>
        <v>0</v>
      </c>
      <c r="AE37" s="1440">
        <f t="shared" si="9"/>
        <v>0</v>
      </c>
      <c r="AF37" s="1441">
        <f t="shared" si="10"/>
        <v>0</v>
      </c>
      <c r="AG37" s="1436">
        <f t="shared" si="11"/>
        <v>0</v>
      </c>
      <c r="AH37" s="154">
        <f t="shared" si="12"/>
        <v>0</v>
      </c>
      <c r="AI37" s="1440">
        <f t="shared" si="13"/>
        <v>0</v>
      </c>
      <c r="AJ37" s="1436">
        <f t="shared" si="14"/>
        <v>0</v>
      </c>
      <c r="AK37" s="154">
        <f t="shared" si="15"/>
        <v>0</v>
      </c>
    </row>
    <row r="38" spans="1:37" ht="15" customHeight="1" x14ac:dyDescent="0.25">
      <c r="A38" s="753">
        <v>10</v>
      </c>
      <c r="B38" s="755" t="str">
        <f>IF(Basisgegevens!B319="","--",Basisgegevens!B319)</f>
        <v>--</v>
      </c>
      <c r="C38" s="126" t="str">
        <f>IF(Basisgegevens!E319="","--",Basisgegevens!E319)</f>
        <v>--</v>
      </c>
      <c r="D38" s="127" t="str">
        <f>IF(Basisgegevens!E336="","--",Basisgegevens!E336)</f>
        <v>--</v>
      </c>
      <c r="E38" s="756" t="str">
        <f>IF(D38="--","--",IF(AND($D38&gt;=21,BGKind21Wel="Nee"),"n.v.t",Basisgegevens!F336))</f>
        <v>--</v>
      </c>
      <c r="F38" s="2303" t="str">
        <f>IF(D38="--","--",IF(OR(AND($D38&gt;=21,BGKind21Wel="Nee"),Basisgegevens!$F336="Zelfvoorzienend"),"n.v.t",IF(OR(LEFT(Basisgegevens!$F336,3)="MBO",LEFT(Basisgegevens!$F336,6)="HBO/WO"),Basisgegevens!$J336,KAEigenAandeel/(KAKindTotaalAantal+$L$12+$L$13))))</f>
        <v>--</v>
      </c>
      <c r="G38" s="2301">
        <f>IF(OR(E38="--",E38="???",F38="n.v.t"),0,Basisgegevens!F319)</f>
        <v>0</v>
      </c>
      <c r="H38" s="427">
        <f t="shared" si="20"/>
        <v>0</v>
      </c>
      <c r="I38" s="424" t="str">
        <f>IF(Basisgegevens!C319=1,BGPartner_AP,IF(Basisgegevens!D319=1,BGPartner_AG,"--"))</f>
        <v>--</v>
      </c>
      <c r="J38" s="1425">
        <f>Basisgegevens!G319</f>
        <v>0.15</v>
      </c>
      <c r="K38" s="194">
        <f t="shared" si="0"/>
        <v>0</v>
      </c>
      <c r="L38" s="157">
        <f t="shared" si="1"/>
        <v>0</v>
      </c>
      <c r="M38" s="154">
        <f t="shared" si="2"/>
        <v>0</v>
      </c>
      <c r="N38" s="1440">
        <f t="shared" si="3"/>
        <v>0</v>
      </c>
      <c r="O38" s="1441">
        <f t="shared" si="4"/>
        <v>0</v>
      </c>
      <c r="P38" s="1436">
        <f t="shared" si="5"/>
        <v>0</v>
      </c>
      <c r="Q38" s="154">
        <f t="shared" si="6"/>
        <v>0</v>
      </c>
      <c r="R38" s="1440">
        <f t="shared" si="17"/>
        <v>0</v>
      </c>
      <c r="S38" s="1441">
        <f t="shared" si="18"/>
        <v>0</v>
      </c>
      <c r="T38" s="1436">
        <f t="shared" si="19"/>
        <v>0</v>
      </c>
      <c r="U38" s="3029" t="str">
        <f t="shared" si="7"/>
        <v>--</v>
      </c>
      <c r="V38" s="3030"/>
      <c r="W38" s="3030"/>
      <c r="X38" s="3030"/>
      <c r="Y38" s="3030"/>
      <c r="Z38" s="3030"/>
      <c r="AA38" s="3030"/>
      <c r="AB38" s="3030"/>
      <c r="AC38" s="3031"/>
      <c r="AD38" s="154">
        <f t="shared" si="8"/>
        <v>0</v>
      </c>
      <c r="AE38" s="1440">
        <f t="shared" si="9"/>
        <v>0</v>
      </c>
      <c r="AF38" s="1441">
        <f t="shared" si="10"/>
        <v>0</v>
      </c>
      <c r="AG38" s="1436">
        <f t="shared" si="11"/>
        <v>0</v>
      </c>
      <c r="AH38" s="154">
        <f t="shared" si="12"/>
        <v>0</v>
      </c>
      <c r="AI38" s="1440">
        <f t="shared" si="13"/>
        <v>0</v>
      </c>
      <c r="AJ38" s="1436">
        <f t="shared" si="14"/>
        <v>0</v>
      </c>
      <c r="AK38" s="154">
        <f t="shared" si="15"/>
        <v>0</v>
      </c>
    </row>
    <row r="39" spans="1:37" ht="15" customHeight="1" x14ac:dyDescent="0.25">
      <c r="A39" s="753">
        <v>11</v>
      </c>
      <c r="B39" s="755" t="str">
        <f>IF(Basisgegevens!B320="","--",Basisgegevens!B320)</f>
        <v>--</v>
      </c>
      <c r="C39" s="126" t="str">
        <f>IF(Basisgegevens!E320="","--",Basisgegevens!E320)</f>
        <v>--</v>
      </c>
      <c r="D39" s="127" t="str">
        <f>IF(Basisgegevens!E337="","--",Basisgegevens!E337)</f>
        <v>--</v>
      </c>
      <c r="E39" s="756" t="str">
        <f>IF(D39="--","--",IF(AND($D39&gt;=21,BGKind21Wel="Nee"),"n.v.t",Basisgegevens!F337))</f>
        <v>--</v>
      </c>
      <c r="F39" s="2303" t="str">
        <f>IF(D39="--","--",IF(OR(AND($D39&gt;=21,BGKind21Wel="Nee"),Basisgegevens!$F337="Zelfvoorzienend"),"n.v.t",IF(OR(LEFT(Basisgegevens!$F337,3)="MBO",LEFT(Basisgegevens!$F337,6)="HBO/WO"),Basisgegevens!$J337,KAEigenAandeel/(KAKindTotaalAantal+$L$12+$L$13))))</f>
        <v>--</v>
      </c>
      <c r="G39" s="2301">
        <f>IF(OR(E39="--",E39="???",F39="n.v.t"),0,Basisgegevens!F320)</f>
        <v>0</v>
      </c>
      <c r="H39" s="427">
        <f t="shared" si="20"/>
        <v>0</v>
      </c>
      <c r="I39" s="424" t="str">
        <f>IF(Basisgegevens!C320=1,BGPartner_AP,IF(Basisgegevens!D320=1,BGPartner_AG,"--"))</f>
        <v>--</v>
      </c>
      <c r="J39" s="1425">
        <f>Basisgegevens!G320</f>
        <v>0.15</v>
      </c>
      <c r="K39" s="194">
        <f t="shared" si="0"/>
        <v>0</v>
      </c>
      <c r="L39" s="157">
        <f t="shared" si="1"/>
        <v>0</v>
      </c>
      <c r="M39" s="154">
        <f t="shared" si="2"/>
        <v>0</v>
      </c>
      <c r="N39" s="1440">
        <f t="shared" si="3"/>
        <v>0</v>
      </c>
      <c r="O39" s="1441">
        <f t="shared" si="4"/>
        <v>0</v>
      </c>
      <c r="P39" s="1436">
        <f t="shared" si="5"/>
        <v>0</v>
      </c>
      <c r="Q39" s="154">
        <f t="shared" si="6"/>
        <v>0</v>
      </c>
      <c r="R39" s="1440">
        <f t="shared" si="17"/>
        <v>0</v>
      </c>
      <c r="S39" s="1441">
        <f t="shared" si="18"/>
        <v>0</v>
      </c>
      <c r="T39" s="1436">
        <f t="shared" si="19"/>
        <v>0</v>
      </c>
      <c r="U39" s="3029" t="str">
        <f t="shared" si="7"/>
        <v>--</v>
      </c>
      <c r="V39" s="3030"/>
      <c r="W39" s="3030"/>
      <c r="X39" s="3030"/>
      <c r="Y39" s="3030"/>
      <c r="Z39" s="3030"/>
      <c r="AA39" s="3030"/>
      <c r="AB39" s="3030"/>
      <c r="AC39" s="3031"/>
      <c r="AD39" s="154">
        <f t="shared" si="8"/>
        <v>0</v>
      </c>
      <c r="AE39" s="1440">
        <f t="shared" si="9"/>
        <v>0</v>
      </c>
      <c r="AF39" s="1441">
        <f t="shared" si="10"/>
        <v>0</v>
      </c>
      <c r="AG39" s="1436">
        <f t="shared" si="11"/>
        <v>0</v>
      </c>
      <c r="AH39" s="154">
        <f t="shared" si="12"/>
        <v>0</v>
      </c>
      <c r="AI39" s="1440">
        <f t="shared" si="13"/>
        <v>0</v>
      </c>
      <c r="AJ39" s="1436">
        <f t="shared" si="14"/>
        <v>0</v>
      </c>
      <c r="AK39" s="154">
        <f t="shared" si="15"/>
        <v>0</v>
      </c>
    </row>
    <row r="40" spans="1:37" ht="15" customHeight="1" thickBot="1" x14ac:dyDescent="0.3">
      <c r="A40" s="754">
        <v>12</v>
      </c>
      <c r="B40" s="757" t="str">
        <f>IF(Basisgegevens!B321="","--",Basisgegevens!B321)</f>
        <v>--</v>
      </c>
      <c r="C40" s="128" t="str">
        <f>IF(Basisgegevens!E321="","--",Basisgegevens!E321)</f>
        <v>--</v>
      </c>
      <c r="D40" s="900" t="str">
        <f>IF(Basisgegevens!E338="","--",Basisgegevens!E338)</f>
        <v>--</v>
      </c>
      <c r="E40" s="901" t="str">
        <f>IF(D40="--","--",IF(AND($D40&gt;=21,BGKind21Wel="Nee"),"n.v.t",Basisgegevens!F338))</f>
        <v>--</v>
      </c>
      <c r="F40" s="2303" t="str">
        <f>IF(D40="--","--",IF(OR(AND($D40&gt;=21,BGKind21Wel="Nee"),Basisgegevens!$F338="Zelfvoorzienend"),"n.v.t",IF(OR(LEFT(Basisgegevens!$F338,3)="MBO",LEFT(Basisgegevens!$F338,6)="HBO/WO"),Basisgegevens!$J338,KAEigenAandeel/(KAKindTotaalAantal+$L$12+$L$13))))</f>
        <v>--</v>
      </c>
      <c r="G40" s="2302">
        <f>IF(OR(E40="--",E40="???",F40="n.v.t"),0,Basisgegevens!F321)</f>
        <v>0</v>
      </c>
      <c r="H40" s="902">
        <f t="shared" si="20"/>
        <v>0</v>
      </c>
      <c r="I40" s="425" t="str">
        <f>IF(Basisgegevens!C321=1,BGPartner_AP,IF(Basisgegevens!D321=1,BGPartner_AG,"--"))</f>
        <v>--</v>
      </c>
      <c r="J40" s="1426">
        <f>Basisgegevens!G321</f>
        <v>0.15</v>
      </c>
      <c r="K40" s="194">
        <f t="shared" si="0"/>
        <v>0</v>
      </c>
      <c r="L40" s="157">
        <f t="shared" si="1"/>
        <v>0</v>
      </c>
      <c r="M40" s="123">
        <f t="shared" si="2"/>
        <v>0</v>
      </c>
      <c r="N40" s="1442">
        <f t="shared" si="3"/>
        <v>0</v>
      </c>
      <c r="O40" s="1443">
        <f t="shared" si="4"/>
        <v>0</v>
      </c>
      <c r="P40" s="1437">
        <f t="shared" si="5"/>
        <v>0</v>
      </c>
      <c r="Q40" s="123">
        <f t="shared" si="6"/>
        <v>0</v>
      </c>
      <c r="R40" s="1442">
        <f t="shared" si="17"/>
        <v>0</v>
      </c>
      <c r="S40" s="1443">
        <f t="shared" si="18"/>
        <v>0</v>
      </c>
      <c r="T40" s="1437">
        <f t="shared" si="19"/>
        <v>0</v>
      </c>
      <c r="U40" s="3032" t="str">
        <f t="shared" si="7"/>
        <v>--</v>
      </c>
      <c r="V40" s="3033"/>
      <c r="W40" s="3033"/>
      <c r="X40" s="3033"/>
      <c r="Y40" s="3033"/>
      <c r="Z40" s="3033"/>
      <c r="AA40" s="3033"/>
      <c r="AB40" s="3033"/>
      <c r="AC40" s="3034"/>
      <c r="AD40" s="123">
        <f t="shared" si="8"/>
        <v>0</v>
      </c>
      <c r="AE40" s="1442">
        <f t="shared" si="9"/>
        <v>0</v>
      </c>
      <c r="AF40" s="1443">
        <f t="shared" si="10"/>
        <v>0</v>
      </c>
      <c r="AG40" s="1437">
        <f t="shared" si="11"/>
        <v>0</v>
      </c>
      <c r="AH40" s="123">
        <f t="shared" si="12"/>
        <v>0</v>
      </c>
      <c r="AI40" s="1442">
        <f t="shared" si="13"/>
        <v>0</v>
      </c>
      <c r="AJ40" s="2466">
        <f t="shared" si="14"/>
        <v>0</v>
      </c>
      <c r="AK40" s="123">
        <f t="shared" si="15"/>
        <v>0</v>
      </c>
    </row>
    <row r="41" spans="1:37" ht="15" customHeight="1" thickBot="1" x14ac:dyDescent="0.3">
      <c r="D41" s="721" t="s">
        <v>116</v>
      </c>
      <c r="E41" s="903">
        <f>SUM(E29:E40)</f>
        <v>0</v>
      </c>
      <c r="F41" s="161">
        <f t="shared" ref="F41" si="21">SUM(F29:F40)</f>
        <v>0</v>
      </c>
      <c r="G41" s="462">
        <f>SUM(G29:G40)</f>
        <v>0</v>
      </c>
      <c r="H41" s="109">
        <f>SUM(H29:H40)</f>
        <v>0</v>
      </c>
      <c r="K41" s="153">
        <f t="shared" ref="K41:L41" si="22">SUM(K29:K40)</f>
        <v>0</v>
      </c>
      <c r="L41" s="155">
        <f t="shared" si="22"/>
        <v>0</v>
      </c>
      <c r="M41" s="161">
        <f>SUM(M29:M40)</f>
        <v>0</v>
      </c>
      <c r="N41" s="159">
        <f>SUM(N29:N40)</f>
        <v>0</v>
      </c>
      <c r="O41" s="160">
        <f>SUMIFS(O29:O40,O29:O40,"&gt;0,01")</f>
        <v>0</v>
      </c>
      <c r="P41" s="158">
        <f>SUM(P29:P40)</f>
        <v>0</v>
      </c>
      <c r="Q41" s="161">
        <f>SUM(Q29:Q40)</f>
        <v>0</v>
      </c>
      <c r="R41" s="159">
        <f>SUM(R29:R40)</f>
        <v>0</v>
      </c>
      <c r="S41" s="160">
        <f>SUMIFS(S29:S40,S29:S40,"&gt;0,01")</f>
        <v>0</v>
      </c>
      <c r="T41" s="156">
        <f>SUM(T29:T40)</f>
        <v>0</v>
      </c>
      <c r="AD41" s="161">
        <f>SUM(AD29:AD40)</f>
        <v>0</v>
      </c>
      <c r="AE41" s="159">
        <f>SUM(AE29:AE40)</f>
        <v>0</v>
      </c>
      <c r="AF41" s="160">
        <f>SUMIFS(AF29:AF40,AF29:AF40,"&gt;0,01")</f>
        <v>0</v>
      </c>
      <c r="AG41" s="158">
        <f>SUM(AG29:AG40)</f>
        <v>0</v>
      </c>
      <c r="AH41" s="161">
        <f>SUM(AH29:AH40)</f>
        <v>0</v>
      </c>
      <c r="AI41" s="159">
        <f>SUM(AI29:AI40)</f>
        <v>0</v>
      </c>
      <c r="AJ41" s="2467">
        <f>SUMIFS(AJ29:AJ40,AJ29:AJ40,"&gt;0,01")</f>
        <v>0</v>
      </c>
      <c r="AK41" s="161">
        <f>SUM(AK29:AK40)</f>
        <v>0</v>
      </c>
    </row>
    <row r="42" spans="1:37" ht="15" customHeight="1" thickBot="1" x14ac:dyDescent="0.3">
      <c r="N42" s="2164" t="s">
        <v>290</v>
      </c>
      <c r="O42" s="192" t="s">
        <v>289</v>
      </c>
      <c r="P42" s="193" t="s">
        <v>291</v>
      </c>
      <c r="R42" s="192" t="s">
        <v>292</v>
      </c>
      <c r="S42" s="193" t="s">
        <v>289</v>
      </c>
      <c r="T42" s="193" t="s">
        <v>291</v>
      </c>
      <c r="AE42" s="2164" t="s">
        <v>290</v>
      </c>
      <c r="AF42" s="192" t="s">
        <v>289</v>
      </c>
      <c r="AG42" s="193" t="s">
        <v>291</v>
      </c>
      <c r="AI42" s="192" t="s">
        <v>292</v>
      </c>
      <c r="AJ42" s="2468" t="s">
        <v>289</v>
      </c>
      <c r="AK42" s="2469" t="s">
        <v>291</v>
      </c>
    </row>
    <row r="43" spans="1:37" ht="15" customHeight="1" thickBot="1" x14ac:dyDescent="0.3">
      <c r="A43" s="2050" t="str">
        <f>Basisgegevens!B306</f>
        <v>Behoefte van studerend kind vanaf 21 jaar toch meenemen in de kinderalimentatie berekening?</v>
      </c>
      <c r="B43" s="2042"/>
      <c r="C43" s="2042"/>
      <c r="D43" s="2042"/>
      <c r="E43" s="2043"/>
      <c r="F43" s="2049" t="str">
        <f>BGKind21Wel</f>
        <v>Nee</v>
      </c>
      <c r="N43" s="3039" t="s">
        <v>298</v>
      </c>
      <c r="O43" s="3040"/>
      <c r="P43" s="3041"/>
      <c r="R43" s="3039" t="s">
        <v>298</v>
      </c>
      <c r="S43" s="3040"/>
      <c r="T43" s="3041"/>
      <c r="AE43" s="3039" t="s">
        <v>298</v>
      </c>
      <c r="AF43" s="3040"/>
      <c r="AG43" s="3041"/>
      <c r="AI43" s="3039" t="s">
        <v>298</v>
      </c>
      <c r="AJ43" s="3040"/>
      <c r="AK43" s="3041"/>
    </row>
    <row r="44" spans="1:37" ht="15" customHeight="1" thickBot="1" x14ac:dyDescent="0.3"/>
    <row r="45" spans="1:37" ht="15" customHeight="1" thickBot="1" x14ac:dyDescent="0.3">
      <c r="B45" s="611"/>
      <c r="G45" s="1217" t="s">
        <v>1007</v>
      </c>
      <c r="H45" s="1218"/>
      <c r="I45" s="1218"/>
      <c r="J45" s="1218"/>
      <c r="K45" s="1218"/>
      <c r="L45" s="1219"/>
      <c r="M45" s="1218"/>
      <c r="N45" s="1218"/>
      <c r="O45" s="1218"/>
      <c r="P45" s="1218"/>
      <c r="Q45" s="1218"/>
      <c r="R45" s="1218"/>
      <c r="S45" s="1218"/>
      <c r="T45" s="1220"/>
    </row>
  </sheetData>
  <sheetProtection algorithmName="SHA-512" hashValue="uXrt4/x7d7uJUaHzwD3xJdIxlThHlO3i3cTrtg2TldY1u16zCUDH9BHLsoaL3RNXPl+gZ04DY42sqksKs9S0Jg==" saltValue="JN0d+iMXNGep8bKorUIT0g==" spinCount="100000" sheet="1" objects="1" scenarios="1"/>
  <mergeCells count="70">
    <mergeCell ref="AE43:AG43"/>
    <mergeCell ref="AI43:AK43"/>
    <mergeCell ref="AI3:AI5"/>
    <mergeCell ref="AD24:AG24"/>
    <mergeCell ref="AH24:AK24"/>
    <mergeCell ref="AD25:AD28"/>
    <mergeCell ref="AE25:AE28"/>
    <mergeCell ref="AF25:AF28"/>
    <mergeCell ref="AG25:AG28"/>
    <mergeCell ref="AH25:AH28"/>
    <mergeCell ref="AI25:AI28"/>
    <mergeCell ref="AJ25:AJ28"/>
    <mergeCell ref="AK25:AK28"/>
    <mergeCell ref="V3:V5"/>
    <mergeCell ref="J4:K4"/>
    <mergeCell ref="H5:I5"/>
    <mergeCell ref="J16:J17"/>
    <mergeCell ref="F25:F28"/>
    <mergeCell ref="G25:G28"/>
    <mergeCell ref="I26:I28"/>
    <mergeCell ref="H25:H28"/>
    <mergeCell ref="H12:I12"/>
    <mergeCell ref="E16:E17"/>
    <mergeCell ref="F19:H19"/>
    <mergeCell ref="L4:L5"/>
    <mergeCell ref="K25:K28"/>
    <mergeCell ref="J25:J28"/>
    <mergeCell ref="L25:L28"/>
    <mergeCell ref="H13:I13"/>
    <mergeCell ref="N43:P43"/>
    <mergeCell ref="R43:T43"/>
    <mergeCell ref="R25:R28"/>
    <mergeCell ref="M24:P24"/>
    <mergeCell ref="Q24:T24"/>
    <mergeCell ref="T25:T28"/>
    <mergeCell ref="M25:M28"/>
    <mergeCell ref="O25:O28"/>
    <mergeCell ref="S25:S28"/>
    <mergeCell ref="P25:P28"/>
    <mergeCell ref="N25:N28"/>
    <mergeCell ref="Q25:Q28"/>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B23:C23"/>
    <mergeCell ref="B17:C17"/>
    <mergeCell ref="M4:M9"/>
    <mergeCell ref="E6:E10"/>
    <mergeCell ref="J11:O11"/>
    <mergeCell ref="B18:C18"/>
    <mergeCell ref="B19:C19"/>
    <mergeCell ref="B20:C20"/>
    <mergeCell ref="B21:C21"/>
    <mergeCell ref="B22:C22"/>
    <mergeCell ref="B12:D12"/>
    <mergeCell ref="H6:I6"/>
    <mergeCell ref="H7:I7"/>
    <mergeCell ref="H8:I8"/>
    <mergeCell ref="H9:I9"/>
    <mergeCell ref="D16:D17"/>
  </mergeCells>
  <conditionalFormatting sqref="E11">
    <cfRule type="cellIs" dxfId="19" priority="4" operator="equal">
      <formula>"???"</formula>
    </cfRule>
  </conditionalFormatting>
  <conditionalFormatting sqref="E29:E40">
    <cfRule type="cellIs" dxfId="18" priority="10" operator="equal">
      <formula>"???"</formula>
    </cfRule>
  </conditionalFormatting>
  <conditionalFormatting sqref="F41">
    <cfRule type="cellIs" dxfId="17" priority="8" operator="lessThan">
      <formula>0</formula>
    </cfRule>
  </conditionalFormatting>
  <conditionalFormatting sqref="K18:V21">
    <cfRule type="expression" dxfId="16" priority="3094">
      <formula>$M$10&lt;&gt;$J18</formula>
    </cfRule>
    <cfRule type="cellIs" dxfId="15" priority="3095" operator="equal">
      <formula>$D$19</formula>
    </cfRule>
    <cfRule type="cellIs" dxfId="14" priority="3096" operator="equal">
      <formula>$E$19</formula>
    </cfRule>
  </conditionalFormatting>
  <conditionalFormatting sqref="U10 K41:T41">
    <cfRule type="cellIs" dxfId="13" priority="20" operator="lessThan">
      <formula>0</formula>
    </cfRule>
  </conditionalFormatting>
  <conditionalFormatting sqref="AD41:AK41">
    <cfRule type="cellIs" dxfId="12" priority="3" operator="lessThan">
      <formula>0</formula>
    </cfRule>
  </conditionalFormatting>
  <conditionalFormatting sqref="AH10">
    <cfRule type="cellIs" dxfId="11" priority="1"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69"/>
  <sheetViews>
    <sheetView showGridLines="0" zoomScale="80" zoomScaleNormal="80" workbookViewId="0">
      <pane xSplit="6" ySplit="18" topLeftCell="G19" activePane="bottomRight" state="frozen"/>
      <selection pane="topRight" activeCell="G1" sqref="G1"/>
      <selection pane="bottomLeft" activeCell="A19" sqref="A19"/>
      <selection pane="bottomRight"/>
    </sheetView>
  </sheetViews>
  <sheetFormatPr defaultColWidth="8.85546875" defaultRowHeight="15" x14ac:dyDescent="0.25"/>
  <cols>
    <col min="1" max="1" width="8.85546875" style="219"/>
    <col min="2" max="2" width="25.7109375" customWidth="1"/>
    <col min="3" max="3" width="23.7109375" customWidth="1"/>
    <col min="4" max="4" width="30.7109375" customWidth="1"/>
    <col min="5" max="6" width="15.7109375" style="429" customWidth="1"/>
    <col min="7" max="7" width="20.7109375" style="429" customWidth="1"/>
  </cols>
  <sheetData>
    <row r="1" spans="1:7" ht="21.75" thickBot="1" x14ac:dyDescent="0.4">
      <c r="A1" s="1897"/>
      <c r="B1" s="1924" t="s">
        <v>433</v>
      </c>
      <c r="C1" s="1925"/>
      <c r="D1" s="1925"/>
      <c r="E1" s="1925"/>
      <c r="F1" s="1925"/>
      <c r="G1" s="1926"/>
    </row>
    <row r="2" spans="1:7" ht="15.75" thickBot="1" x14ac:dyDescent="0.3">
      <c r="C2" s="219"/>
    </row>
    <row r="3" spans="1:7" ht="16.5" thickBot="1" x14ac:dyDescent="0.3">
      <c r="B3" s="2668" t="s">
        <v>317</v>
      </c>
      <c r="C3" s="3020"/>
      <c r="D3" s="760">
        <f>Basisgegevens!$C$16</f>
        <v>45658</v>
      </c>
      <c r="F3" s="446" t="s">
        <v>421</v>
      </c>
      <c r="G3" s="764" t="str">
        <f>Basisgegevens!$C$22</f>
        <v>2025 - 1e halfjaar</v>
      </c>
    </row>
    <row r="4" spans="1:7" ht="15.75" thickBot="1" x14ac:dyDescent="0.3">
      <c r="C4" s="219"/>
    </row>
    <row r="5" spans="1:7" ht="15.75" thickBot="1" x14ac:dyDescent="0.3">
      <c r="C5" s="219"/>
      <c r="E5" s="440" t="s">
        <v>728</v>
      </c>
      <c r="F5" s="440" t="s">
        <v>729</v>
      </c>
    </row>
    <row r="6" spans="1:7" x14ac:dyDescent="0.25">
      <c r="A6" s="455">
        <f>'Alimentatie 2025-01'!A247</f>
        <v>121</v>
      </c>
      <c r="B6" s="761" t="s">
        <v>431</v>
      </c>
      <c r="C6" s="2169" t="str">
        <f>BGPartner_AP</f>
        <v>A. Plichtig</v>
      </c>
      <c r="D6" s="432">
        <f>Basisgegevens!C5</f>
        <v>33024</v>
      </c>
      <c r="E6" s="442">
        <f>Basisgegevens!C251</f>
        <v>0</v>
      </c>
      <c r="F6" s="442">
        <f>E6*12</f>
        <v>0</v>
      </c>
      <c r="G6" s="433" t="s">
        <v>73</v>
      </c>
    </row>
    <row r="7" spans="1:7" ht="15.75" thickBot="1" x14ac:dyDescent="0.3">
      <c r="A7" s="529">
        <f>'Alimentatie 2025-01'!A247</f>
        <v>121</v>
      </c>
      <c r="B7" s="762" t="s">
        <v>430</v>
      </c>
      <c r="C7" s="2170" t="str">
        <f>BGPartner_AG</f>
        <v>A. Gerechtigd</v>
      </c>
      <c r="D7" s="530">
        <f>Basisgegevens!D5</f>
        <v>33024</v>
      </c>
      <c r="E7" s="531">
        <f>Basisgegevens!D251</f>
        <v>0</v>
      </c>
      <c r="F7" s="531">
        <f>E7*12</f>
        <v>0</v>
      </c>
      <c r="G7" s="433" t="s">
        <v>73</v>
      </c>
    </row>
    <row r="8" spans="1:7" ht="15.75" thickBot="1" x14ac:dyDescent="0.3">
      <c r="B8" s="3083" t="s">
        <v>886</v>
      </c>
      <c r="C8" s="2655"/>
      <c r="D8" s="3084"/>
      <c r="E8" s="453">
        <f>SUM(E6:E7)</f>
        <v>0</v>
      </c>
      <c r="F8" s="453">
        <f>E8*12</f>
        <v>0</v>
      </c>
    </row>
    <row r="9" spans="1:7" ht="15.75" thickBot="1" x14ac:dyDescent="0.3">
      <c r="B9" s="3085"/>
      <c r="C9" s="3085"/>
      <c r="D9" s="3085"/>
      <c r="E9" s="443"/>
      <c r="F9" s="443"/>
    </row>
    <row r="10" spans="1:7" ht="15.75" thickBot="1" x14ac:dyDescent="0.3">
      <c r="B10" s="3086" t="str">
        <f>Kinderalimentatie!B23</f>
        <v>Eigen aandeel ouders conform NIBUD tabel:</v>
      </c>
      <c r="C10" s="3087"/>
      <c r="D10" s="3088"/>
      <c r="E10" s="444">
        <f>Kinderalimentatie!D23</f>
        <v>0</v>
      </c>
      <c r="F10" s="444">
        <f>E10*12</f>
        <v>0</v>
      </c>
      <c r="G10" s="1824" t="s">
        <v>68</v>
      </c>
    </row>
    <row r="11" spans="1:7" ht="15.75" thickBot="1" x14ac:dyDescent="0.3">
      <c r="B11" s="3089" t="s">
        <v>432</v>
      </c>
      <c r="C11" s="3090"/>
      <c r="D11" s="3091"/>
      <c r="E11" s="445">
        <f>E8-E10</f>
        <v>0</v>
      </c>
      <c r="F11" s="445">
        <f>E11*12</f>
        <v>0</v>
      </c>
    </row>
    <row r="12" spans="1:7" ht="15.75" thickBot="1" x14ac:dyDescent="0.3">
      <c r="B12" s="3125" t="str">
        <f>CONCATENATE("Behoefte AP/AG a ",Basisgegevens!C228*100,"%:")</f>
        <v>Behoefte AP/AG a 60%:</v>
      </c>
      <c r="C12" s="3126"/>
      <c r="D12" s="3127"/>
      <c r="E12" s="109">
        <f>Basisgegevens!C228*E11</f>
        <v>0</v>
      </c>
      <c r="F12" s="109">
        <f>E12*12</f>
        <v>0</v>
      </c>
      <c r="G12" s="1469" t="s">
        <v>1073</v>
      </c>
    </row>
    <row r="13" spans="1:7" ht="15.75" thickBot="1" x14ac:dyDescent="0.3">
      <c r="B13" s="3085"/>
      <c r="C13" s="3085"/>
      <c r="D13" s="3085"/>
    </row>
    <row r="14" spans="1:7" ht="19.5" thickBot="1" x14ac:dyDescent="0.35">
      <c r="B14" s="3114" t="s">
        <v>1150</v>
      </c>
      <c r="C14" s="3115"/>
      <c r="D14" s="3116"/>
      <c r="E14" s="441" t="s">
        <v>54</v>
      </c>
      <c r="F14" s="483" t="s">
        <v>429</v>
      </c>
      <c r="G14"/>
    </row>
    <row r="15" spans="1:7" x14ac:dyDescent="0.25">
      <c r="B15" s="3092" t="s">
        <v>449</v>
      </c>
      <c r="C15" s="3093"/>
      <c r="D15" s="3094"/>
      <c r="E15" s="454">
        <f>E12</f>
        <v>0</v>
      </c>
      <c r="F15" s="484">
        <f>F12</f>
        <v>0</v>
      </c>
      <c r="G15" s="433" t="s">
        <v>1148</v>
      </c>
    </row>
    <row r="16" spans="1:7" ht="15.75" thickBot="1" x14ac:dyDescent="0.3">
      <c r="B16" s="3095" t="str">
        <f>B65</f>
        <v>Netto inkomen t.b.v. eigen behoefte:</v>
      </c>
      <c r="C16" s="3096"/>
      <c r="D16" s="3097"/>
      <c r="E16" s="461">
        <f>IF(F16="n.v.t",0,F16/12)</f>
        <v>0</v>
      </c>
      <c r="F16" s="485">
        <f>F68</f>
        <v>0</v>
      </c>
      <c r="G16" s="1861" t="s">
        <v>1149</v>
      </c>
    </row>
    <row r="17" spans="1:7" ht="15.75" thickBot="1" x14ac:dyDescent="0.3">
      <c r="B17" s="3098" t="s">
        <v>438</v>
      </c>
      <c r="C17" s="3080"/>
      <c r="D17" s="3081"/>
      <c r="E17" s="488">
        <f>E15-E16</f>
        <v>0</v>
      </c>
      <c r="F17" s="486">
        <f>F15-F16</f>
        <v>0</v>
      </c>
      <c r="G17" s="783"/>
    </row>
    <row r="18" spans="1:7" s="2570" customFormat="1" ht="19.5" thickBot="1" x14ac:dyDescent="0.35">
      <c r="A18" s="2566"/>
      <c r="B18" s="3108" t="s">
        <v>450</v>
      </c>
      <c r="C18" s="3109"/>
      <c r="D18" s="3110"/>
      <c r="E18" s="2567">
        <f>IF(F18=0,0,F18/12)</f>
        <v>0</v>
      </c>
      <c r="F18" s="2568">
        <f>Basisgegevens!$AA11</f>
        <v>0</v>
      </c>
      <c r="G18" s="2569"/>
    </row>
    <row r="19" spans="1:7" s="2570" customFormat="1" ht="18.75" x14ac:dyDescent="0.3">
      <c r="A19" s="2566"/>
      <c r="B19" s="2571"/>
      <c r="C19" s="2571"/>
      <c r="D19" s="2571"/>
      <c r="E19" s="2572"/>
      <c r="F19" s="2572"/>
      <c r="G19" s="2569"/>
    </row>
    <row r="20" spans="1:7" ht="19.5" thickBot="1" x14ac:dyDescent="0.35">
      <c r="B20" s="2573" t="s">
        <v>1147</v>
      </c>
    </row>
    <row r="21" spans="1:7" ht="16.5" thickBot="1" x14ac:dyDescent="0.3">
      <c r="A21" s="217" t="s">
        <v>223</v>
      </c>
      <c r="B21" s="3101" t="s">
        <v>434</v>
      </c>
      <c r="C21" s="3101"/>
      <c r="D21" s="3101"/>
      <c r="E21" s="441" t="s">
        <v>54</v>
      </c>
      <c r="F21" s="446" t="s">
        <v>429</v>
      </c>
      <c r="G21" s="612" t="s">
        <v>427</v>
      </c>
    </row>
    <row r="22" spans="1:7" x14ac:dyDescent="0.25">
      <c r="A22" s="1447" t="str">
        <f>'Alimentatie 2025-01'!A44&amp;"/"&amp;'Alimentatie 2025-01'!A50</f>
        <v>59/60</v>
      </c>
      <c r="B22" s="3102" t="str">
        <f>'Alimentatie 2025-01'!B44&amp;" / "&amp;'Alimentatie 2025-01'!B50</f>
        <v>Inkomsten uit arbeid: / Bruto loon volgens jaaropgaaf werkgever(s)</v>
      </c>
      <c r="C22" s="2664"/>
      <c r="D22" s="2665"/>
      <c r="E22" s="430">
        <f>F22/12</f>
        <v>0</v>
      </c>
      <c r="F22" s="476">
        <f>AL59Arbeidsinkomen_AG+AL60Arbeidsinkomen_AG</f>
        <v>0</v>
      </c>
      <c r="G22" s="430">
        <f>AL59Arbeidsinkomen_AG+AL60Arbeidsinkomen_AG</f>
        <v>0</v>
      </c>
    </row>
    <row r="23" spans="1:7" x14ac:dyDescent="0.25">
      <c r="A23" s="450">
        <f>'Alimentatie 2025-01'!A16</f>
        <v>43</v>
      </c>
      <c r="B23" s="2651" t="str">
        <f>'Alimentatie 2025-01'!B16</f>
        <v>Bruto uitkering andere sociale verzekeringswetten (niet zijnde bijstand)</v>
      </c>
      <c r="C23" s="2651"/>
      <c r="D23" s="2652"/>
      <c r="E23" s="451">
        <f>F23/12</f>
        <v>0</v>
      </c>
      <c r="F23" s="477">
        <f>AL43SocVerz_AG</f>
        <v>0</v>
      </c>
      <c r="G23" s="451">
        <f>F23</f>
        <v>0</v>
      </c>
    </row>
    <row r="24" spans="1:7" x14ac:dyDescent="0.25">
      <c r="A24" s="450">
        <f>'Alimentatie 2025-01'!A66</f>
        <v>70</v>
      </c>
      <c r="B24" s="3103" t="str">
        <f>'Alimentatie 2025-01'!B66</f>
        <v>Winst uit onderneming:</v>
      </c>
      <c r="C24" s="2651"/>
      <c r="D24" s="2652"/>
      <c r="E24" s="451">
        <f>F24/12</f>
        <v>0</v>
      </c>
      <c r="F24" s="477">
        <f>AL70WinstOnderneming_AG</f>
        <v>0</v>
      </c>
      <c r="G24" s="451">
        <f>F24-'Alimentatie 2025-01'!G74</f>
        <v>0</v>
      </c>
    </row>
    <row r="25" spans="1:7" x14ac:dyDescent="0.25">
      <c r="A25" s="450">
        <f>'Alimentatie 2025-01'!A80</f>
        <v>78</v>
      </c>
      <c r="B25" s="3103" t="str">
        <f>'Alimentatie 2025-01'!B80</f>
        <v>Belastbaar resultaat uit overige werkzaamheden:</v>
      </c>
      <c r="C25" s="2651"/>
      <c r="D25" s="2652"/>
      <c r="E25" s="451">
        <f>F25/12</f>
        <v>0</v>
      </c>
      <c r="F25" s="477">
        <f>AL78OverigeWerkz_AG</f>
        <v>0</v>
      </c>
      <c r="G25" s="451">
        <f>F25</f>
        <v>0</v>
      </c>
    </row>
    <row r="26" spans="1:7" x14ac:dyDescent="0.25">
      <c r="A26" s="450">
        <f>'Alimentatie 2025-01'!A86</f>
        <v>81</v>
      </c>
      <c r="B26" s="3103" t="str">
        <f>'Alimentatie 2025-01'!B86</f>
        <v>Belastbare periodieke uitkeringen en verstrekkingen:</v>
      </c>
      <c r="C26" s="2651"/>
      <c r="D26" s="2652"/>
      <c r="E26" s="451">
        <f>F26/12</f>
        <v>0</v>
      </c>
      <c r="F26" s="477">
        <f>'Alimentatie 2025-01'!$G83</f>
        <v>0</v>
      </c>
      <c r="G26" s="451">
        <f>'Alimentatie 2025-01'!$G83</f>
        <v>0</v>
      </c>
    </row>
    <row r="27" spans="1:7" x14ac:dyDescent="0.25">
      <c r="A27" s="450">
        <f>'Alimentatie 2025-01'!A89</f>
        <v>81</v>
      </c>
      <c r="B27" s="3133" t="str">
        <f>'Alimentatie 2025-01'!B89</f>
        <v>OEW Fictief inkomen: Eigen Woning Forfait ontvangen als partneralimentatie</v>
      </c>
      <c r="C27" s="3134"/>
      <c r="D27" s="3135"/>
      <c r="E27" s="451">
        <f t="shared" ref="E27:E28" si="0">F27/12</f>
        <v>0</v>
      </c>
      <c r="F27" s="477">
        <f>IF(BGOEWRekenModule="Nee",0,BGOEW81EWFPA_AG)</f>
        <v>0</v>
      </c>
      <c r="G27" s="451">
        <f t="shared" ref="G27:G28" si="1">F27</f>
        <v>0</v>
      </c>
    </row>
    <row r="28" spans="1:7" ht="15.75" thickBot="1" x14ac:dyDescent="0.3">
      <c r="A28" s="457">
        <f>'Alimentatie 2025-01'!A90</f>
        <v>81</v>
      </c>
      <c r="B28" s="3136" t="str">
        <f>'Alimentatie 2025-01'!B90</f>
        <v>OEW Fictief inkomen: Rente ontvangen als partneralimentatie</v>
      </c>
      <c r="C28" s="3137"/>
      <c r="D28" s="3138"/>
      <c r="E28" s="461">
        <f t="shared" si="0"/>
        <v>0</v>
      </c>
      <c r="F28" s="479">
        <f>IF(BGOEWRekenModule="Nee",0,BGOEW81RentePA_AG)</f>
        <v>0</v>
      </c>
      <c r="G28" s="452">
        <f t="shared" si="1"/>
        <v>0</v>
      </c>
    </row>
    <row r="29" spans="1:7" ht="15.75" thickBot="1" x14ac:dyDescent="0.3">
      <c r="A29" s="458">
        <v>94</v>
      </c>
      <c r="B29" s="3080" t="s">
        <v>446</v>
      </c>
      <c r="C29" s="3080"/>
      <c r="D29" s="3128"/>
      <c r="E29" s="487">
        <f>SUM(E22:E28)</f>
        <v>0</v>
      </c>
      <c r="F29" s="487">
        <f>SUM(F22:F28)</f>
        <v>0</v>
      </c>
      <c r="G29" s="487">
        <f>SUM(G22:G28)</f>
        <v>0</v>
      </c>
    </row>
    <row r="30" spans="1:7" x14ac:dyDescent="0.25">
      <c r="A30" s="456" t="str">
        <f>CONCATENATE('Alimentatie 2025-01'!A145,"/",'Alimentatie 2025-01'!A147)</f>
        <v>98/100</v>
      </c>
      <c r="B30" s="3104" t="str">
        <f>'Alimentatie 2025-01'!B147</f>
        <v>Belastbaar inkomen uit aanmerkelijk belang (Box II):</v>
      </c>
      <c r="C30" s="3104"/>
      <c r="D30" s="3105"/>
      <c r="E30" s="454">
        <f>G30/12</f>
        <v>0</v>
      </c>
      <c r="F30" s="478">
        <f>AL100InkAanmBelang_AG</f>
        <v>0</v>
      </c>
      <c r="G30" s="478">
        <f>AL100InkAanmBelang_AG</f>
        <v>0</v>
      </c>
    </row>
    <row r="31" spans="1:7" ht="15.75" thickBot="1" x14ac:dyDescent="0.3">
      <c r="A31" s="459">
        <f>'Alimentatie 2025-01'!A155</f>
        <v>103</v>
      </c>
      <c r="B31" s="3131" t="str">
        <f>'Alimentatie 2025-01'!B155</f>
        <v>Werkelijke vermogensinkomsten:</v>
      </c>
      <c r="C31" s="2661"/>
      <c r="D31" s="2662"/>
      <c r="E31" s="461">
        <f>F31/12</f>
        <v>0</v>
      </c>
      <c r="F31" s="479">
        <f>AL103WerkVemInk_AG</f>
        <v>0</v>
      </c>
      <c r="G31" s="479">
        <f>AL103WerkVemInk_AG</f>
        <v>0</v>
      </c>
    </row>
    <row r="32" spans="1:7" ht="15.75" thickBot="1" x14ac:dyDescent="0.3">
      <c r="A32" s="460">
        <v>113</v>
      </c>
      <c r="B32" s="3119" t="s">
        <v>435</v>
      </c>
      <c r="C32" s="3119"/>
      <c r="D32" s="3132"/>
      <c r="E32" s="462">
        <f>E29+E30+E31</f>
        <v>0</v>
      </c>
      <c r="F32" s="475">
        <f>F29+F30+F31</f>
        <v>0</v>
      </c>
      <c r="G32" s="109">
        <f>G29+G30+G31</f>
        <v>0</v>
      </c>
    </row>
    <row r="33" spans="1:7" ht="15.75" thickBot="1" x14ac:dyDescent="0.3">
      <c r="B33" s="3085"/>
      <c r="C33" s="3085"/>
      <c r="D33" s="3085"/>
    </row>
    <row r="34" spans="1:7" ht="16.149999999999999" customHeight="1" thickBot="1" x14ac:dyDescent="0.3">
      <c r="A34" s="223" t="s">
        <v>223</v>
      </c>
      <c r="B34" s="3129" t="s">
        <v>182</v>
      </c>
      <c r="C34" s="3129"/>
      <c r="D34" s="3130"/>
      <c r="E34" s="441" t="s">
        <v>54</v>
      </c>
      <c r="F34" s="441" t="s">
        <v>429</v>
      </c>
    </row>
    <row r="35" spans="1:7" x14ac:dyDescent="0.25">
      <c r="A35" s="463">
        <f>'Alimentatie 2025-01'!A134</f>
        <v>95</v>
      </c>
      <c r="B35" s="3104" t="str">
        <f>'Alimentatie 2025-01'!B134</f>
        <v>Inkomensheffing Box 1:</v>
      </c>
      <c r="C35" s="3104"/>
      <c r="D35" s="3105"/>
      <c r="E35" s="430">
        <f>IF(F35="n.v.t",0,F35/12)</f>
        <v>0</v>
      </c>
      <c r="F35" s="2312">
        <f>Basisgegevens!$W11</f>
        <v>0</v>
      </c>
      <c r="G35" s="1469" t="s">
        <v>73</v>
      </c>
    </row>
    <row r="36" spans="1:7" x14ac:dyDescent="0.25">
      <c r="A36" s="450">
        <f>'Alimentatie 2025-01'!A148</f>
        <v>101</v>
      </c>
      <c r="B36" s="2651" t="str">
        <f>'Alimentatie 2025-01'!B148</f>
        <v>Inkomstebelasting (het o.b.v. belastbaar inkomen geldende tarief is: 24,5%) box II:</v>
      </c>
      <c r="C36" s="2651"/>
      <c r="D36" s="2652"/>
      <c r="E36" s="451">
        <f>IF(F36="n.v.t",0,F36/12)</f>
        <v>0</v>
      </c>
      <c r="F36" s="2310">
        <f>'Alimentatie 2025-01'!$G148</f>
        <v>0</v>
      </c>
      <c r="G36" s="1469" t="s">
        <v>73</v>
      </c>
    </row>
    <row r="37" spans="1:7" ht="15.75" thickBot="1" x14ac:dyDescent="0.3">
      <c r="A37" s="457">
        <f>'Alimentatie 2025-01'!A176</f>
        <v>112</v>
      </c>
      <c r="B37" s="2661" t="str">
        <f>'Alimentatie 2025-01'!B176</f>
        <v>Inkomstebelasting (vast tarief 36%) box III:</v>
      </c>
      <c r="C37" s="2661"/>
      <c r="D37" s="2662"/>
      <c r="E37" s="461">
        <f>IF(F37="n.v.t",0,F37/12)</f>
        <v>0</v>
      </c>
      <c r="F37" s="2311">
        <f>'Alimentatie 2025-01'!$G176</f>
        <v>0</v>
      </c>
      <c r="G37" s="1469" t="s">
        <v>73</v>
      </c>
    </row>
    <row r="38" spans="1:7" ht="15.75" thickBot="1" x14ac:dyDescent="0.3">
      <c r="A38" s="458"/>
      <c r="B38" s="3080" t="s">
        <v>436</v>
      </c>
      <c r="C38" s="3080"/>
      <c r="D38" s="3081"/>
      <c r="E38" s="439">
        <f>SUM(E35:E37)</f>
        <v>0</v>
      </c>
      <c r="F38" s="439">
        <f>SUM(F35:F37)</f>
        <v>0</v>
      </c>
      <c r="G38" s="1469"/>
    </row>
    <row r="39" spans="1:7" ht="15.75" thickBot="1" x14ac:dyDescent="0.3">
      <c r="B39" s="3085"/>
      <c r="C39" s="3085"/>
      <c r="D39" s="3085"/>
      <c r="G39" s="1469"/>
    </row>
    <row r="40" spans="1:7" ht="16.5" thickBot="1" x14ac:dyDescent="0.3">
      <c r="A40" s="249">
        <f>'Alimentatie 2025-01'!A183</f>
        <v>115</v>
      </c>
      <c r="B40" s="3106" t="s">
        <v>428</v>
      </c>
      <c r="C40" s="3106"/>
      <c r="D40" s="3107"/>
      <c r="E40" s="440" t="s">
        <v>54</v>
      </c>
      <c r="F40" s="480" t="s">
        <v>429</v>
      </c>
      <c r="G40" s="1469"/>
    </row>
    <row r="41" spans="1:7" x14ac:dyDescent="0.25">
      <c r="A41" s="449"/>
      <c r="B41" s="2664" t="str">
        <f>'Alimentatie 2025-01'!B184&amp;" over € "&amp;Basisgegevens!R96</f>
        <v>- Algemene heffingskorting over € 0 (AP) / € 0 (AG) over € 0</v>
      </c>
      <c r="C41" s="2664"/>
      <c r="D41" s="2665"/>
      <c r="E41" s="430">
        <f>IF(F41="n.v.t",0,F41/12)</f>
        <v>0</v>
      </c>
      <c r="F41" s="1270">
        <f>IF(BGAOWLeeftijdBereikt_AG="Nee",Basisgegevens!$R101,Basisgegevens!$R110)</f>
        <v>0</v>
      </c>
      <c r="G41" s="1469" t="s">
        <v>73</v>
      </c>
    </row>
    <row r="42" spans="1:7" x14ac:dyDescent="0.25">
      <c r="A42" s="450"/>
      <c r="B42" s="2651" t="str">
        <f>'Alimentatie 2025-01'!B185</f>
        <v>- Arbeidskorting over € 0 (AP) / € 0 (AG)</v>
      </c>
      <c r="C42" s="2651"/>
      <c r="D42" s="2652"/>
      <c r="E42" s="451">
        <f t="shared" ref="E42:E60" si="2">IF(F42="n.v.t",0,F42/12)</f>
        <v>0</v>
      </c>
      <c r="F42" s="481">
        <f>IF(BGAOWLeeftijdBereikt_AG="Nee",Basisgegevens!$R121,Basisgegevens!$R130)</f>
        <v>0</v>
      </c>
      <c r="G42" s="1469" t="s">
        <v>73</v>
      </c>
    </row>
    <row r="43" spans="1:7" x14ac:dyDescent="0.25">
      <c r="A43" s="450"/>
      <c r="B43" s="2651" t="str">
        <f>'Alimentatie 2025-01'!B186</f>
        <v>- Inkomensonafhankelijke combinatiekorting</v>
      </c>
      <c r="C43" s="2651"/>
      <c r="D43" s="2652"/>
      <c r="E43" s="451">
        <f t="shared" si="2"/>
        <v>0</v>
      </c>
      <c r="F43" s="481" t="str">
        <f>IF(BGAOWLeeftijdBereikt_AG="Nee",Basisgegevens!$R84,Basisgegevens!$R92)</f>
        <v>n.v.t</v>
      </c>
      <c r="G43" s="1469" t="s">
        <v>73</v>
      </c>
    </row>
    <row r="44" spans="1:7" x14ac:dyDescent="0.25">
      <c r="A44" s="450"/>
      <c r="B44" s="2651" t="str">
        <f>'Alimentatie 2025-01'!B187</f>
        <v>- Ouderenkorting</v>
      </c>
      <c r="C44" s="2651"/>
      <c r="D44" s="2652"/>
      <c r="E44" s="451">
        <f t="shared" si="2"/>
        <v>0</v>
      </c>
      <c r="F44" s="481" t="str">
        <f>Basisgegevens!$R138</f>
        <v>n.v.t</v>
      </c>
      <c r="G44" s="1469" t="s">
        <v>73</v>
      </c>
    </row>
    <row r="45" spans="1:7" x14ac:dyDescent="0.25">
      <c r="A45" s="450"/>
      <c r="B45" s="2651" t="str">
        <f>'Alimentatie 2025-01'!B188</f>
        <v>- Alleenstaande ouderenkorting (AOW-ers)</v>
      </c>
      <c r="C45" s="2651"/>
      <c r="D45" s="2652"/>
      <c r="E45" s="451">
        <f t="shared" si="2"/>
        <v>0</v>
      </c>
      <c r="F45" s="481" t="str">
        <f>Basisgegevens!$O56</f>
        <v>n.v.t</v>
      </c>
      <c r="G45" s="1469" t="s">
        <v>73</v>
      </c>
    </row>
    <row r="46" spans="1:7" ht="15.75" thickBot="1" x14ac:dyDescent="0.3">
      <c r="A46" s="457"/>
      <c r="B46" s="2661" t="str">
        <f>'Alimentatie 2025-01'!B189</f>
        <v>- Andere kortingen (Jonggehandicapten, Levensloopverlof, Groene beleggingen)</v>
      </c>
      <c r="C46" s="2661"/>
      <c r="D46" s="2662"/>
      <c r="E46" s="461">
        <f t="shared" si="2"/>
        <v>0</v>
      </c>
      <c r="F46" s="482">
        <f>'Alimentatie 2025-01'!$G189</f>
        <v>0</v>
      </c>
      <c r="G46" s="1469" t="s">
        <v>73</v>
      </c>
    </row>
    <row r="47" spans="1:7" ht="15.75" thickBot="1" x14ac:dyDescent="0.3">
      <c r="A47" s="521">
        <f>'Alimentatie 2025-01'!A190</f>
        <v>116</v>
      </c>
      <c r="B47" s="3080" t="s">
        <v>437</v>
      </c>
      <c r="C47" s="3080"/>
      <c r="D47" s="3081"/>
      <c r="E47" s="439">
        <f t="shared" si="2"/>
        <v>0</v>
      </c>
      <c r="F47" s="487">
        <f>SUM(F41:F46)</f>
        <v>0</v>
      </c>
      <c r="G47" s="1469"/>
    </row>
    <row r="48" spans="1:7" ht="15.75" thickBot="1" x14ac:dyDescent="0.3">
      <c r="A48" s="521">
        <f>'Alimentatie 2025-01'!A191</f>
        <v>117</v>
      </c>
      <c r="B48" s="3080" t="s">
        <v>180</v>
      </c>
      <c r="C48" s="3080"/>
      <c r="D48" s="3081"/>
      <c r="E48" s="439">
        <f t="shared" si="2"/>
        <v>0</v>
      </c>
      <c r="F48" s="487">
        <f>IF(F38-F47&lt;0,0,F38-F47)</f>
        <v>0</v>
      </c>
      <c r="G48" s="1469"/>
    </row>
    <row r="49" spans="1:7" ht="15.75" thickBot="1" x14ac:dyDescent="0.3">
      <c r="A49" s="460">
        <f>'Alimentatie 2025-01'!A192</f>
        <v>0</v>
      </c>
      <c r="B49" s="3119" t="str">
        <f>'Alimentatie 2025-01'!B192</f>
        <v>Inkomen na aftrek van inkomensheffing:</v>
      </c>
      <c r="C49" s="3119"/>
      <c r="D49" s="2657"/>
      <c r="E49" s="109">
        <f t="shared" si="2"/>
        <v>0</v>
      </c>
      <c r="F49" s="462">
        <f>'Alimentatie 2025-01'!$G181-F48</f>
        <v>0</v>
      </c>
      <c r="G49" s="1469"/>
    </row>
    <row r="50" spans="1:7" ht="15.75" thickBot="1" x14ac:dyDescent="0.3">
      <c r="B50" s="3085"/>
      <c r="C50" s="3085"/>
      <c r="D50" s="3085"/>
    </row>
    <row r="51" spans="1:7" ht="15.75" thickBot="1" x14ac:dyDescent="0.3">
      <c r="A51" s="223" t="s">
        <v>223</v>
      </c>
      <c r="B51" s="3120" t="s">
        <v>447</v>
      </c>
      <c r="C51" s="3120"/>
      <c r="D51" s="3121"/>
      <c r="E51" s="441" t="s">
        <v>54</v>
      </c>
      <c r="F51" s="483" t="s">
        <v>429</v>
      </c>
    </row>
    <row r="52" spans="1:7" ht="15.75" thickBot="1" x14ac:dyDescent="0.3">
      <c r="A52" s="463">
        <f>'Alimentatie 2025-01'!A219</f>
        <v>119</v>
      </c>
      <c r="B52" s="3139" t="str">
        <f>'Alimentatie 2025-01'!B219</f>
        <v>(Kleine) Netto inkomsten</v>
      </c>
      <c r="C52" s="3104"/>
      <c r="D52" s="3105"/>
      <c r="E52" s="454">
        <f>IF(F52="n.v.t",0,F52/12)</f>
        <v>0</v>
      </c>
      <c r="F52" s="484">
        <f>'Alimentatie 2025-01'!$G219</f>
        <v>0</v>
      </c>
      <c r="G52" s="433" t="s">
        <v>73</v>
      </c>
    </row>
    <row r="53" spans="1:7" ht="15.75" thickBot="1" x14ac:dyDescent="0.3">
      <c r="A53" s="2258"/>
      <c r="B53" s="3124" t="s">
        <v>867</v>
      </c>
      <c r="C53" s="3124"/>
      <c r="D53" s="3124"/>
      <c r="E53" s="2259"/>
      <c r="F53" s="2260"/>
      <c r="G53" s="1824"/>
    </row>
    <row r="54" spans="1:7" x14ac:dyDescent="0.25">
      <c r="A54" s="449" t="str">
        <f>'Alimentatie 2025-01'!A197</f>
        <v>41/57</v>
      </c>
      <c r="B54" s="2665" t="str">
        <f>'Alimentatie 2025-01'!B197</f>
        <v>Ink.afhankelijke bijdrage premie ZVW al betaald bij post 41 Looninkomsten</v>
      </c>
      <c r="C54" s="3078"/>
      <c r="D54" s="3079"/>
      <c r="E54" s="430">
        <f t="shared" ref="E54" si="3">IF(F54="n.v.t",0,F54/12)</f>
        <v>0</v>
      </c>
      <c r="F54" s="1270">
        <f>'Alimentatie 2025-01'!$H197</f>
        <v>0</v>
      </c>
      <c r="G54" s="1824" t="s">
        <v>68</v>
      </c>
    </row>
    <row r="55" spans="1:7" x14ac:dyDescent="0.25">
      <c r="A55" s="450" t="str">
        <f>'Alimentatie 2025-01'!A233</f>
        <v>44/47/48</v>
      </c>
      <c r="B55" s="2652" t="str">
        <f>'Alimentatie 2025-01'!B233</f>
        <v>Bruto arbeidsinkomen uit dienstbetrekking (1 en 2) als DGA? Nee (AP) / Nee (AG)</v>
      </c>
      <c r="C55" s="2632"/>
      <c r="D55" s="3082"/>
      <c r="E55" s="451">
        <f>IF(F55="n.v.t",0,F55/12)</f>
        <v>0</v>
      </c>
      <c r="F55" s="481">
        <f>'Alimentatie 2025-01'!$G233</f>
        <v>0</v>
      </c>
      <c r="G55" s="1824" t="s">
        <v>68</v>
      </c>
    </row>
    <row r="56" spans="1:7" x14ac:dyDescent="0.25">
      <c r="A56" s="450">
        <f>'Alimentatie 2025-01'!A234</f>
        <v>42</v>
      </c>
      <c r="B56" s="2652" t="str">
        <f>'Alimentatie 2025-01'!B234</f>
        <v>Bruto AOW-uitkering (geen premies werknemersverzekeringen)</v>
      </c>
      <c r="C56" s="2632"/>
      <c r="D56" s="3082"/>
      <c r="E56" s="451">
        <f t="shared" ref="E56:E57" si="4">IF(F56="n.v.t",0,F56/12)</f>
        <v>0</v>
      </c>
      <c r="F56" s="481">
        <f>'Alimentatie 2025-01'!$G234</f>
        <v>0</v>
      </c>
      <c r="G56" s="1824" t="s">
        <v>68</v>
      </c>
    </row>
    <row r="57" spans="1:7" x14ac:dyDescent="0.25">
      <c r="A57" s="450">
        <f>'Alimentatie 2025-01'!A235</f>
        <v>50</v>
      </c>
      <c r="B57" s="2652" t="str">
        <f>'Alimentatie 2025-01'!B235</f>
        <v>Bruto pensioen (vakantietoeslag niet altijd inbegrepen)</v>
      </c>
      <c r="C57" s="2632"/>
      <c r="D57" s="3082"/>
      <c r="E57" s="451">
        <f t="shared" si="4"/>
        <v>0</v>
      </c>
      <c r="F57" s="481">
        <f>'Alimentatie 2025-01'!$G235</f>
        <v>0</v>
      </c>
      <c r="G57" s="1824" t="s">
        <v>68</v>
      </c>
    </row>
    <row r="58" spans="1:7" x14ac:dyDescent="0.25">
      <c r="A58" s="450">
        <f>'Alimentatie 2025-01'!A236</f>
        <v>75</v>
      </c>
      <c r="B58" s="2652" t="str">
        <f>'Alimentatie 2025-01'!B236</f>
        <v>Belastbare winst uit onderneming</v>
      </c>
      <c r="C58" s="2632"/>
      <c r="D58" s="3082"/>
      <c r="E58" s="451">
        <f t="shared" si="2"/>
        <v>0</v>
      </c>
      <c r="F58" s="481">
        <f>'Alimentatie 2025-01'!$G236</f>
        <v>0</v>
      </c>
      <c r="G58" s="1824" t="s">
        <v>68</v>
      </c>
    </row>
    <row r="59" spans="1:7" x14ac:dyDescent="0.25">
      <c r="A59" s="450">
        <f>'Alimentatie 2025-01'!A237</f>
        <v>78</v>
      </c>
      <c r="B59" s="2652" t="str">
        <f>'Alimentatie 2025-01'!B237</f>
        <v>Belastbaar resultaat uit overige werkzaamheden</v>
      </c>
      <c r="C59" s="2632"/>
      <c r="D59" s="3082"/>
      <c r="E59" s="451">
        <f t="shared" si="2"/>
        <v>0</v>
      </c>
      <c r="F59" s="481">
        <f>'Alimentatie 2025-01'!$G237</f>
        <v>0</v>
      </c>
      <c r="G59" s="1824" t="s">
        <v>68</v>
      </c>
    </row>
    <row r="60" spans="1:7" ht="15.75" thickBot="1" x14ac:dyDescent="0.3">
      <c r="A60" s="2261">
        <f>'Alimentatie 2025-01'!A239</f>
        <v>81</v>
      </c>
      <c r="B60" s="3122" t="str">
        <f>'Alimentatie 2025-01'!B239</f>
        <v>Belastbare periodieke uitkeringen en verstrekkingen</v>
      </c>
      <c r="C60" s="2653"/>
      <c r="D60" s="3123"/>
      <c r="E60" s="452">
        <f t="shared" si="2"/>
        <v>0</v>
      </c>
      <c r="F60" s="1271">
        <f>'Alimentatie 2025-01'!$G239</f>
        <v>0</v>
      </c>
      <c r="G60" s="1824" t="s">
        <v>68</v>
      </c>
    </row>
    <row r="61" spans="1:7" ht="15.75" thickBot="1" x14ac:dyDescent="0.3">
      <c r="A61" s="458"/>
      <c r="B61" s="3080" t="s">
        <v>868</v>
      </c>
      <c r="C61" s="3080"/>
      <c r="D61" s="3081"/>
      <c r="E61" s="439">
        <f>SUM(E54:E60)</f>
        <v>0</v>
      </c>
      <c r="F61" s="487">
        <f>SUM(F54:F60)</f>
        <v>0</v>
      </c>
      <c r="G61" s="1824" t="s">
        <v>68</v>
      </c>
    </row>
    <row r="62" spans="1:7" ht="15.75" thickBot="1" x14ac:dyDescent="0.3">
      <c r="A62" s="460"/>
      <c r="B62" s="2533"/>
      <c r="C62" s="2534"/>
      <c r="D62" s="2535" t="s">
        <v>791</v>
      </c>
      <c r="E62" s="109">
        <f>E49+E52-E61</f>
        <v>0</v>
      </c>
      <c r="F62" s="462">
        <f>F49+F52-F61</f>
        <v>0</v>
      </c>
      <c r="G62" s="1824"/>
    </row>
    <row r="63" spans="1:7" x14ac:dyDescent="0.25">
      <c r="A63" s="222" t="str">
        <f>'Alimentatie 2025-01'!A293</f>
        <v>141b</v>
      </c>
      <c r="B63" s="3104" t="str">
        <f>"- "&amp;'Alimentatie 2025-01'!B291&amp;" + "&amp;'Alimentatie 2025-01'!B293</f>
        <v>- Kinderalimentatie + Eigen aandeel kosten kinderen</v>
      </c>
      <c r="C63" s="3104"/>
      <c r="D63" s="3105"/>
      <c r="E63" s="489">
        <f>'Alimentatie 2025-01'!G294</f>
        <v>0</v>
      </c>
      <c r="F63" s="763">
        <f>E63*12</f>
        <v>0</v>
      </c>
      <c r="G63" s="1824" t="s">
        <v>68</v>
      </c>
    </row>
    <row r="64" spans="1:7" ht="15.75" thickBot="1" x14ac:dyDescent="0.3">
      <c r="A64" s="220"/>
      <c r="B64" s="2651" t="str">
        <f>'Alimentatie 2025-01'!B222</f>
        <v>- Kindgebonden budget + Alleenstaande ouderkop (zie Toelichting in kolom H !!!)</v>
      </c>
      <c r="C64" s="2651"/>
      <c r="D64" s="2652"/>
      <c r="E64" s="451">
        <f>IF(F64="n.v.t",0,F64/12)</f>
        <v>0</v>
      </c>
      <c r="F64" s="481">
        <f>IF(BGKGBbij119a="Ja",IF('Alimentatie 2025-01'!$H222&gt;=F63,F63,F63-'Alimentatie 2025-01'!$H222),0)</f>
        <v>0</v>
      </c>
      <c r="G64" s="433" t="s">
        <v>73</v>
      </c>
    </row>
    <row r="65" spans="1:7" ht="15.75" thickBot="1" x14ac:dyDescent="0.3">
      <c r="A65" s="2543"/>
      <c r="B65" s="3117" t="s">
        <v>448</v>
      </c>
      <c r="C65" s="3117"/>
      <c r="D65" s="3118"/>
      <c r="E65" s="2544">
        <f>E62-E63+E64</f>
        <v>0</v>
      </c>
      <c r="F65" s="2544">
        <f>F62-F63+SUBSTITUTE(F64,"n.v.t",0)</f>
        <v>0</v>
      </c>
      <c r="G65" s="2540" t="s">
        <v>1131</v>
      </c>
    </row>
    <row r="66" spans="1:7" ht="15.75" thickBot="1" x14ac:dyDescent="0.3">
      <c r="A66" s="2545"/>
      <c r="B66" s="3111" t="s">
        <v>535</v>
      </c>
      <c r="C66" s="3112"/>
      <c r="D66" s="3113"/>
      <c r="E66" s="430">
        <f>IF(F66="n.v.t",0,F66/12)</f>
        <v>0</v>
      </c>
      <c r="F66" s="430">
        <f>IF(F12-F65&gt;G66,BGZVWPremie*G66,BGZVWPremie*(F12-F65))</f>
        <v>0</v>
      </c>
      <c r="G66" s="2542">
        <f>ALZVWRestbedrag_AG</f>
        <v>75864</v>
      </c>
    </row>
    <row r="67" spans="1:7" ht="15.75" thickBot="1" x14ac:dyDescent="0.3">
      <c r="A67" s="221"/>
      <c r="B67" s="3099" t="s">
        <v>1130</v>
      </c>
      <c r="C67" s="2916"/>
      <c r="D67" s="3100"/>
      <c r="E67" s="452" t="e" vm="1">
        <f>IF(F67="n.v.t",0,F67/12)</f>
        <v>#VALUE!</v>
      </c>
      <c r="F67" s="452" t="e" vm="2">
        <f>IF(BGAOWLeeftijdBereikt_AG="Nee",Basisgegevens!$Z84-F43,Basisgegevens!$Z92-F43)</f>
        <v>#VALUE!</v>
      </c>
      <c r="G67" s="1824" t="s">
        <v>68</v>
      </c>
    </row>
    <row r="68" spans="1:7" ht="15.75" thickBot="1" x14ac:dyDescent="0.3">
      <c r="A68" s="474" t="str">
        <f>'Alimentatie 2025-01'!A224</f>
        <v>119a</v>
      </c>
      <c r="B68" s="2655" t="str">
        <f>'Alimentatie 2025-01'!B224</f>
        <v>Totaal Netto inkomsten (waaronder KGB):</v>
      </c>
      <c r="C68" s="2655"/>
      <c r="D68" s="3084"/>
      <c r="E68" s="453">
        <f>F68/12</f>
        <v>0</v>
      </c>
      <c r="F68" s="453">
        <f>F65-SUM(F66:F66)</f>
        <v>0</v>
      </c>
      <c r="G68" s="2541"/>
    </row>
    <row r="69" spans="1:7" x14ac:dyDescent="0.25">
      <c r="B69" s="3085"/>
      <c r="C69" s="3085"/>
      <c r="D69" s="3085"/>
    </row>
  </sheetData>
  <sheetProtection algorithmName="SHA-512" hashValue="QnRMGmpRUrJOpJImv6hq+HCf++qm3aYCC8hX0Yf/kVOwFs/BGZYJJtcveTdm9t/Yk/eZ5YH+X6RFu3SBq9GVvQ==" saltValue="tj/XuluL7K0pb4FW/271sQ==" spinCount="100000" sheet="1" objects="1" scenarios="1"/>
  <mergeCells count="60">
    <mergeCell ref="B64:D64"/>
    <mergeCell ref="B12:D12"/>
    <mergeCell ref="B13:D13"/>
    <mergeCell ref="B33:D33"/>
    <mergeCell ref="B35:D35"/>
    <mergeCell ref="B36:D36"/>
    <mergeCell ref="B26:D26"/>
    <mergeCell ref="B29:D29"/>
    <mergeCell ref="B30:D30"/>
    <mergeCell ref="B34:D34"/>
    <mergeCell ref="B31:D31"/>
    <mergeCell ref="B32:D32"/>
    <mergeCell ref="B27:D27"/>
    <mergeCell ref="B28:D28"/>
    <mergeCell ref="B50:D50"/>
    <mergeCell ref="B52:D52"/>
    <mergeCell ref="B18:D18"/>
    <mergeCell ref="B66:D66"/>
    <mergeCell ref="B68:D68"/>
    <mergeCell ref="B14:D14"/>
    <mergeCell ref="B65:D65"/>
    <mergeCell ref="B41:D41"/>
    <mergeCell ref="B43:D43"/>
    <mergeCell ref="B44:D44"/>
    <mergeCell ref="B45:D45"/>
    <mergeCell ref="B46:D46"/>
    <mergeCell ref="B47:D47"/>
    <mergeCell ref="B48:D48"/>
    <mergeCell ref="B49:D49"/>
    <mergeCell ref="B51:D51"/>
    <mergeCell ref="B60:D60"/>
    <mergeCell ref="B53:D53"/>
    <mergeCell ref="B69:D69"/>
    <mergeCell ref="B15:D15"/>
    <mergeCell ref="B16:D16"/>
    <mergeCell ref="B17:D17"/>
    <mergeCell ref="B67:D67"/>
    <mergeCell ref="B21:D21"/>
    <mergeCell ref="B22:D22"/>
    <mergeCell ref="B23:D23"/>
    <mergeCell ref="B24:D24"/>
    <mergeCell ref="B25:D25"/>
    <mergeCell ref="B63:D63"/>
    <mergeCell ref="B42:D42"/>
    <mergeCell ref="B37:D37"/>
    <mergeCell ref="B38:D38"/>
    <mergeCell ref="B39:D39"/>
    <mergeCell ref="B40:D40"/>
    <mergeCell ref="B8:D8"/>
    <mergeCell ref="B9:D9"/>
    <mergeCell ref="B10:D10"/>
    <mergeCell ref="B11:D11"/>
    <mergeCell ref="B3:C3"/>
    <mergeCell ref="B54:D54"/>
    <mergeCell ref="B61:D61"/>
    <mergeCell ref="B55:D55"/>
    <mergeCell ref="B57:D57"/>
    <mergeCell ref="B58:D58"/>
    <mergeCell ref="B59:D59"/>
    <mergeCell ref="B56:D56"/>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2"/>
  <sheetViews>
    <sheetView showGridLines="0" zoomScale="85" zoomScaleNormal="85" workbookViewId="0">
      <pane xSplit="10" ySplit="24" topLeftCell="K25" activePane="bottomRight" state="frozen"/>
      <selection pane="topRight" activeCell="K1" sqref="K1"/>
      <selection pane="bottomLeft" activeCell="A25" sqref="A25"/>
      <selection pane="bottomRight" activeCell="J20" sqref="J20"/>
    </sheetView>
  </sheetViews>
  <sheetFormatPr defaultRowHeight="15" x14ac:dyDescent="0.25"/>
  <cols>
    <col min="1" max="1" width="9.42578125" style="219" bestFit="1" customWidth="1"/>
    <col min="2" max="2" width="80.7109375" customWidth="1"/>
    <col min="3" max="6" width="16.7109375" style="429" customWidth="1"/>
    <col min="7" max="7" width="18.42578125" bestFit="1" customWidth="1"/>
    <col min="8" max="8" width="33.140625" customWidth="1"/>
    <col min="9" max="10" width="22.7109375" customWidth="1"/>
    <col min="11" max="11" width="17.85546875" bestFit="1" customWidth="1"/>
    <col min="12" max="12" width="19.28515625" customWidth="1"/>
    <col min="13" max="13" width="10.7109375" customWidth="1"/>
  </cols>
  <sheetData>
    <row r="1" spans="1:13" ht="21.75" thickBot="1" x14ac:dyDescent="0.4">
      <c r="A1" s="1927"/>
      <c r="B1" s="1924" t="s">
        <v>1022</v>
      </c>
      <c r="C1" s="1928"/>
      <c r="D1" s="1928"/>
      <c r="E1" s="1928"/>
      <c r="F1" s="1929"/>
    </row>
    <row r="2" spans="1:13" ht="7.5" customHeight="1" thickBot="1" x14ac:dyDescent="0.4">
      <c r="A2" s="1930"/>
      <c r="B2" s="1931"/>
      <c r="C2" s="1817"/>
      <c r="D2" s="1817"/>
      <c r="E2" s="1817"/>
      <c r="F2" s="1817"/>
    </row>
    <row r="3" spans="1:13" ht="16.5" thickBot="1" x14ac:dyDescent="0.3">
      <c r="A3" s="119" t="s">
        <v>223</v>
      </c>
      <c r="B3" s="1449" t="s">
        <v>101</v>
      </c>
      <c r="C3" s="3148" t="str">
        <f>BGPartner_AP</f>
        <v>A. Plichtig</v>
      </c>
      <c r="D3" s="3149"/>
      <c r="E3" s="3148" t="str">
        <f>BGPartner_AG</f>
        <v>A. Gerechtigd</v>
      </c>
      <c r="F3" s="3149"/>
      <c r="H3" s="428" t="s">
        <v>421</v>
      </c>
      <c r="I3" s="3153" t="str">
        <f>Basisgegevens!$C$22</f>
        <v>2025 - 1e halfjaar</v>
      </c>
      <c r="J3" s="3154"/>
    </row>
    <row r="4" spans="1:13" ht="15.75" thickBot="1" x14ac:dyDescent="0.3">
      <c r="A4" s="1246">
        <f>'Alimentatie 2025-01'!A273</f>
        <v>136</v>
      </c>
      <c r="B4" s="1452" t="str">
        <f>'Alimentatie 2025-01'!B273&amp;"per jaar: "</f>
        <v xml:space="preserve">Draagkrachtruimte:per jaar: </v>
      </c>
      <c r="C4" s="1877"/>
      <c r="D4" s="1878">
        <f>AL136_Draagkrachtruimte_AP*12</f>
        <v>-15120</v>
      </c>
      <c r="E4" s="1879"/>
      <c r="F4" s="1878">
        <f>AL136_Draagkrachtruimte_AG*12</f>
        <v>-15120</v>
      </c>
    </row>
    <row r="5" spans="1:13" ht="16.5" thickBot="1" x14ac:dyDescent="0.3">
      <c r="A5" s="414">
        <f>'Alimentatie 2025-01'!A268</f>
        <v>135</v>
      </c>
      <c r="B5" s="1453" t="str">
        <f>SUBSTITUTE('Alimentatie 2025-01'!B268,":","")&amp;"/Behoefte per jaar: "</f>
        <v xml:space="preserve">Draagkrachtloos inkomen/Behoefte per jaar: </v>
      </c>
      <c r="C5" s="1880">
        <f>AL135_Draagkrachtloos_AP*12</f>
        <v>15120</v>
      </c>
      <c r="D5" s="1881"/>
      <c r="E5" s="1880">
        <f>AL135_Draagkrachtloos_AG*12</f>
        <v>15120</v>
      </c>
      <c r="F5" s="1881"/>
      <c r="H5" s="428" t="s">
        <v>317</v>
      </c>
      <c r="I5" s="751">
        <f>Basisgegevens!$C$16</f>
        <v>45658</v>
      </c>
    </row>
    <row r="6" spans="1:13" ht="9.9499999999999993" customHeight="1" thickBot="1" x14ac:dyDescent="0.3">
      <c r="A6"/>
      <c r="C6" s="783"/>
      <c r="D6" s="783"/>
      <c r="E6" s="1789"/>
      <c r="F6" s="783"/>
      <c r="G6" s="46"/>
      <c r="H6" s="46"/>
      <c r="I6" s="46"/>
      <c r="J6" s="46"/>
      <c r="K6" s="1433"/>
      <c r="L6" s="1433"/>
    </row>
    <row r="7" spans="1:13" ht="15.75" thickBot="1" x14ac:dyDescent="0.3">
      <c r="A7" s="119" t="s">
        <v>223</v>
      </c>
      <c r="B7" s="1449" t="s">
        <v>101</v>
      </c>
      <c r="C7" s="3148" t="str">
        <f>BGPartner_AP</f>
        <v>A. Plichtig</v>
      </c>
      <c r="D7" s="3149"/>
      <c r="E7" s="3148" t="str">
        <f>BGPartner_AG</f>
        <v>A. Gerechtigd</v>
      </c>
      <c r="F7" s="3149"/>
      <c r="G7" s="46"/>
      <c r="L7" s="1433"/>
    </row>
    <row r="8" spans="1:13" ht="15.75" thickBot="1" x14ac:dyDescent="0.3">
      <c r="A8" s="1247">
        <f>'Alimentatie 2025-01'!A245</f>
        <v>120</v>
      </c>
      <c r="B8" s="1434" t="s">
        <v>870</v>
      </c>
      <c r="C8" s="511">
        <f>'Alimentatie 2025-01'!D245</f>
        <v>0</v>
      </c>
      <c r="D8" s="1812"/>
      <c r="E8" s="511">
        <f>'Alimentatie 2025-01'!G245</f>
        <v>0</v>
      </c>
      <c r="F8" s="1816"/>
      <c r="H8" s="4" t="s">
        <v>1045</v>
      </c>
      <c r="J8" s="1433"/>
      <c r="K8" s="1433"/>
      <c r="L8" s="1433"/>
    </row>
    <row r="9" spans="1:13" ht="15.75" customHeight="1" thickBot="1" x14ac:dyDescent="0.3">
      <c r="A9" s="1787"/>
      <c r="B9" s="1818"/>
      <c r="C9" s="1788"/>
      <c r="D9" s="1819"/>
      <c r="E9" s="1788"/>
      <c r="F9" s="1820"/>
      <c r="H9" s="2860" t="s">
        <v>1046</v>
      </c>
      <c r="I9" s="2861"/>
      <c r="J9" s="2862"/>
      <c r="K9" s="2746" t="s">
        <v>1151</v>
      </c>
      <c r="L9" s="3140"/>
      <c r="M9" s="3141"/>
    </row>
    <row r="10" spans="1:13" ht="15.75" thickBot="1" x14ac:dyDescent="0.3">
      <c r="A10" s="1053">
        <f>'Alimentatie 2025-01'!A247</f>
        <v>121</v>
      </c>
      <c r="B10" s="1849" t="str">
        <f>TRIM('Alimentatie 2025-01'!B247)</f>
        <v>Netto Besteedbaar Inkomen (NBI) per maand:</v>
      </c>
      <c r="C10" s="1872">
        <f>'Alimentatie 2025-01'!D247</f>
        <v>0</v>
      </c>
      <c r="D10" s="1850"/>
      <c r="E10" s="1872">
        <f>'Alimentatie 2025-01'!G247</f>
        <v>0</v>
      </c>
      <c r="F10" s="1851"/>
      <c r="H10" s="2790"/>
      <c r="I10" s="2863"/>
      <c r="J10" s="2864"/>
      <c r="K10" s="3142"/>
      <c r="L10" s="3143"/>
      <c r="M10" s="3144"/>
    </row>
    <row r="11" spans="1:13" ht="15.75" thickBot="1" x14ac:dyDescent="0.3">
      <c r="A11" s="1275" t="s">
        <v>869</v>
      </c>
      <c r="B11" s="1811" t="s">
        <v>871</v>
      </c>
      <c r="C11" s="1873">
        <f>Woonlasten_afwijkend!D44</f>
        <v>0</v>
      </c>
      <c r="D11" s="1847"/>
      <c r="E11" s="1873">
        <f>Woonlasten_afwijkend!E44</f>
        <v>0</v>
      </c>
      <c r="F11" s="1848" t="s">
        <v>68</v>
      </c>
      <c r="H11" s="2790"/>
      <c r="I11" s="2863"/>
      <c r="J11" s="2864"/>
      <c r="K11" s="3142"/>
      <c r="L11" s="3143"/>
      <c r="M11" s="3144"/>
    </row>
    <row r="12" spans="1:13" ht="15.75" thickBot="1" x14ac:dyDescent="0.3">
      <c r="A12" s="497"/>
      <c r="B12" s="1245" t="s">
        <v>873</v>
      </c>
      <c r="C12" s="1810"/>
      <c r="D12" s="1256">
        <f>C10-C11</f>
        <v>0</v>
      </c>
      <c r="E12" s="1810"/>
      <c r="F12" s="439">
        <f>E10-E11</f>
        <v>0</v>
      </c>
      <c r="H12" s="2865"/>
      <c r="I12" s="2866"/>
      <c r="J12" s="2867"/>
      <c r="K12" s="3142"/>
      <c r="L12" s="3143"/>
      <c r="M12" s="3144"/>
    </row>
    <row r="13" spans="1:13" ht="6" customHeight="1" x14ac:dyDescent="0.25">
      <c r="B13" s="1811"/>
      <c r="D13" s="524"/>
      <c r="F13" s="524"/>
      <c r="K13" s="3142"/>
      <c r="L13" s="3143"/>
      <c r="M13" s="3144"/>
    </row>
    <row r="14" spans="1:13" ht="16.5" thickBot="1" x14ac:dyDescent="0.3">
      <c r="B14" s="1821" t="s">
        <v>780</v>
      </c>
      <c r="D14" s="524"/>
      <c r="F14" s="524"/>
      <c r="K14" s="3142"/>
      <c r="L14" s="3143"/>
      <c r="M14" s="3144"/>
    </row>
    <row r="15" spans="1:13" ht="15.75" thickBot="1" x14ac:dyDescent="0.3">
      <c r="A15" s="170"/>
      <c r="B15" s="1451" t="s">
        <v>883</v>
      </c>
      <c r="C15" s="430">
        <f>IF(KAEigenAandeelAP+KAEigenAandeelAG&lt;Kinderalimentatie!H41,Kinderalimentatie!H41-KAEigenAandeelAG,KAEigenAandeelAP)</f>
        <v>0</v>
      </c>
      <c r="D15" s="1813"/>
      <c r="E15" s="430">
        <f>KAEigenAandeelAG</f>
        <v>0</v>
      </c>
      <c r="F15" s="1814" t="s">
        <v>68</v>
      </c>
      <c r="H15" s="740" t="s">
        <v>466</v>
      </c>
      <c r="I15" s="483" t="str">
        <f>BGPartner_AP</f>
        <v>A. Plichtig</v>
      </c>
      <c r="J15" s="441" t="str">
        <f>BGPartner_AG</f>
        <v>A. Gerechtigd</v>
      </c>
      <c r="K15" s="3142"/>
      <c r="L15" s="3143"/>
      <c r="M15" s="3144"/>
    </row>
    <row r="16" spans="1:13" ht="15.75" thickBot="1" x14ac:dyDescent="0.3">
      <c r="A16" s="497"/>
      <c r="B16" s="1245" t="s">
        <v>872</v>
      </c>
      <c r="C16" s="1810"/>
      <c r="D16" s="1256">
        <f>C15</f>
        <v>0</v>
      </c>
      <c r="E16" s="1810"/>
      <c r="F16" s="439">
        <f>E15</f>
        <v>0</v>
      </c>
      <c r="H16" s="741" t="s">
        <v>422</v>
      </c>
      <c r="I16" s="519">
        <f>D32</f>
        <v>0</v>
      </c>
      <c r="J16" s="442">
        <f>F32</f>
        <v>0</v>
      </c>
      <c r="K16" s="3142"/>
      <c r="L16" s="3143"/>
      <c r="M16" s="3144"/>
    </row>
    <row r="17" spans="1:13" ht="15.75" thickBot="1" x14ac:dyDescent="0.3">
      <c r="B17" s="1811"/>
      <c r="H17" s="742" t="s">
        <v>423</v>
      </c>
      <c r="I17" s="520">
        <f>D35</f>
        <v>0</v>
      </c>
      <c r="J17" s="499">
        <f>F35</f>
        <v>0</v>
      </c>
      <c r="K17" s="3142"/>
      <c r="L17" s="3143"/>
      <c r="M17" s="3144"/>
    </row>
    <row r="18" spans="1:13" ht="15.75" thickBot="1" x14ac:dyDescent="0.3">
      <c r="A18" s="497"/>
      <c r="B18" s="1245" t="s">
        <v>875</v>
      </c>
      <c r="C18" s="1810"/>
      <c r="D18" s="1256">
        <f>D12-D16</f>
        <v>0</v>
      </c>
      <c r="E18" s="1810"/>
      <c r="F18" s="439">
        <f>F12-F16</f>
        <v>0</v>
      </c>
      <c r="H18" s="742" t="s">
        <v>424</v>
      </c>
      <c r="I18" s="520">
        <f>D38</f>
        <v>0</v>
      </c>
      <c r="J18" s="500">
        <f>F38</f>
        <v>0</v>
      </c>
      <c r="K18" s="3142"/>
      <c r="L18" s="3143"/>
      <c r="M18" s="3144"/>
    </row>
    <row r="19" spans="1:13" ht="15.75" thickBot="1" x14ac:dyDescent="0.3">
      <c r="A19" s="496">
        <f>'Alimentatie 2025-01'!A305</f>
        <v>144</v>
      </c>
      <c r="B19" s="1434" t="str">
        <f>'Alimentatie 2025-01'!B306</f>
        <v>Netto alimentatie (NA) volgens berekening Methode Buijs per jaar :</v>
      </c>
      <c r="C19" s="1874"/>
      <c r="D19" s="1446">
        <v>0</v>
      </c>
      <c r="E19" s="1874"/>
      <c r="F19" s="461">
        <f>'Alimentatie 2025-01'!D305</f>
        <v>0</v>
      </c>
      <c r="H19" s="743" t="s">
        <v>425</v>
      </c>
      <c r="I19" s="525">
        <v>0</v>
      </c>
      <c r="J19" s="526">
        <v>0</v>
      </c>
      <c r="K19" s="3145"/>
      <c r="L19" s="3146"/>
      <c r="M19" s="3147"/>
    </row>
    <row r="20" spans="1:13" ht="15.75" thickBot="1" x14ac:dyDescent="0.3">
      <c r="A20" s="497"/>
      <c r="B20" s="1245" t="s">
        <v>874</v>
      </c>
      <c r="C20" s="1810"/>
      <c r="D20" s="1256">
        <f>SUM(D18:D19)</f>
        <v>0</v>
      </c>
      <c r="E20" s="1810"/>
      <c r="F20" s="439">
        <f>SUM(F18:F19)</f>
        <v>0</v>
      </c>
      <c r="H20" s="747" t="s">
        <v>465</v>
      </c>
      <c r="I20" s="748">
        <f>SUM(I16:I19)</f>
        <v>0</v>
      </c>
      <c r="J20" s="748">
        <f>SUM(J16:J19)</f>
        <v>0</v>
      </c>
      <c r="K20" s="2574" t="s">
        <v>1050</v>
      </c>
      <c r="L20" s="2574" t="s">
        <v>725</v>
      </c>
    </row>
    <row r="21" spans="1:13" ht="16.5" thickBot="1" x14ac:dyDescent="0.3">
      <c r="A21" s="1444"/>
      <c r="B21" s="1450" t="s">
        <v>882</v>
      </c>
      <c r="C21" s="1875"/>
      <c r="D21" s="1792">
        <f>F21</f>
        <v>0</v>
      </c>
      <c r="E21" s="1875"/>
      <c r="F21" s="1276">
        <f>((D18+F18)/2)</f>
        <v>0</v>
      </c>
      <c r="H21" s="749" t="s">
        <v>879</v>
      </c>
      <c r="I21" s="2576">
        <f>D102</f>
        <v>0</v>
      </c>
      <c r="J21" s="2577">
        <f>F102</f>
        <v>0</v>
      </c>
      <c r="K21" s="750">
        <f>I21-J21</f>
        <v>0</v>
      </c>
      <c r="L21" s="2296" t="e">
        <f>IF($J$19=0,((((I21+J19)*I22)+(((I21+J19)*I22)*BGZVWPremie))*1.008),(((J21+J19)*I22)-((I21+J19)*J22))/1)</f>
        <v>#DIV/0!</v>
      </c>
    </row>
    <row r="22" spans="1:13" ht="15.75" thickBot="1" x14ac:dyDescent="0.3">
      <c r="A22" s="1445"/>
      <c r="B22" s="1434" t="s">
        <v>881</v>
      </c>
      <c r="C22" s="1874"/>
      <c r="D22" s="1793"/>
      <c r="E22" s="1876"/>
      <c r="F22" s="1794">
        <f>F23-F19</f>
        <v>0</v>
      </c>
      <c r="I22" s="2578" t="e">
        <f>($I$21/(($I$21+$J$21)))</f>
        <v>#DIV/0!</v>
      </c>
      <c r="J22" s="2578" t="e">
        <f>($J$21/(($I$21+$J$21)))</f>
        <v>#DIV/0!</v>
      </c>
      <c r="L22" s="2575"/>
    </row>
    <row r="23" spans="1:13" ht="19.5" thickBot="1" x14ac:dyDescent="0.35">
      <c r="A23" s="1857"/>
      <c r="B23" s="1858" t="s">
        <v>880</v>
      </c>
      <c r="C23" s="1859"/>
      <c r="D23" s="1860">
        <f>D20-D21</f>
        <v>0</v>
      </c>
      <c r="E23" s="1859"/>
      <c r="F23" s="1859">
        <f>D23</f>
        <v>0</v>
      </c>
      <c r="G23" s="1866" t="s">
        <v>468</v>
      </c>
      <c r="L23" s="114"/>
    </row>
    <row r="24" spans="1:13" ht="19.5" thickBot="1" x14ac:dyDescent="0.35">
      <c r="A24" s="2588"/>
      <c r="B24" s="2589" t="s">
        <v>885</v>
      </c>
      <c r="C24" s="2567"/>
      <c r="D24" s="2590">
        <f>D102</f>
        <v>0</v>
      </c>
      <c r="E24" s="2567"/>
      <c r="F24" s="2591">
        <f>F102</f>
        <v>0</v>
      </c>
      <c r="G24" s="2592">
        <f>D102-F102</f>
        <v>0</v>
      </c>
      <c r="H24" s="3156" t="str">
        <f>IF(OR(G24&lt;-0.5,G24&gt;0.5),"LET OP: Het Correctiebedrag in Inkomensvergelijking (cel J30) klopt niet !!!","Inkomensvergelijking is Oke!")</f>
        <v>Inkomensvergelijking is Oke!</v>
      </c>
      <c r="I24" s="2645"/>
      <c r="J24" s="2628"/>
    </row>
    <row r="25" spans="1:13" ht="15.75" thickBot="1" x14ac:dyDescent="0.3"/>
    <row r="26" spans="1:13" ht="19.5" thickBot="1" x14ac:dyDescent="0.35">
      <c r="A26" s="1852"/>
      <c r="B26" s="1853" t="s">
        <v>884</v>
      </c>
      <c r="C26" s="1854"/>
      <c r="D26" s="1854"/>
      <c r="E26" s="1855"/>
      <c r="F26" s="1856"/>
      <c r="J26" s="783"/>
    </row>
    <row r="27" spans="1:13" ht="15.75" thickBot="1" x14ac:dyDescent="0.3">
      <c r="A27" s="119" t="s">
        <v>223</v>
      </c>
      <c r="B27" s="723" t="s">
        <v>101</v>
      </c>
      <c r="C27" s="3148" t="str">
        <f>BGPartner_AP</f>
        <v>A. Plichtig</v>
      </c>
      <c r="D27" s="3149"/>
      <c r="E27" s="3155" t="str">
        <f>BGPartner_AG</f>
        <v>A. Gerechtigd</v>
      </c>
      <c r="F27" s="3151"/>
      <c r="J27" s="783"/>
    </row>
    <row r="28" spans="1:13" x14ac:dyDescent="0.25">
      <c r="A28" s="1246">
        <f>'Alimentatie 2025-01'!A$44</f>
        <v>59</v>
      </c>
      <c r="B28" s="1236" t="str">
        <f>'Alimentatie 2025-01'!B$44</f>
        <v>Inkomsten uit arbeid:</v>
      </c>
      <c r="C28" s="1795"/>
      <c r="D28" s="442">
        <f>AL59Arbeidsinkomen_AP</f>
        <v>0</v>
      </c>
      <c r="E28" s="1795"/>
      <c r="F28" s="442">
        <f>AL59Arbeidsinkomen_AG</f>
        <v>0</v>
      </c>
      <c r="J28" s="783"/>
      <c r="K28" s="783"/>
    </row>
    <row r="29" spans="1:13" x14ac:dyDescent="0.25">
      <c r="A29" s="413">
        <f>'Alimentatie 2025-01'!A$50</f>
        <v>60</v>
      </c>
      <c r="B29" s="1237" t="str">
        <f>'Alimentatie 2025-01'!B$50</f>
        <v>Bruto loon volgens jaaropgaaf werkgever(s)</v>
      </c>
      <c r="C29" s="1796"/>
      <c r="D29" s="1276">
        <f>AL60Arbeidsinkomen_AP</f>
        <v>0</v>
      </c>
      <c r="E29" s="1796"/>
      <c r="F29" s="1276">
        <f>AL60Arbeidsinkomen_AG</f>
        <v>0</v>
      </c>
    </row>
    <row r="30" spans="1:13" x14ac:dyDescent="0.25">
      <c r="A30" s="191" t="s">
        <v>711</v>
      </c>
      <c r="B30" s="1238" t="s">
        <v>710</v>
      </c>
      <c r="C30" s="1796"/>
      <c r="D30" s="1276">
        <f>SUM('Alimentatie 2025-01'!D$59:D$60)</f>
        <v>0</v>
      </c>
      <c r="E30" s="1796"/>
      <c r="F30" s="1276">
        <f>SUM('Alimentatie 2025-01'!G$57:G$60)</f>
        <v>0</v>
      </c>
    </row>
    <row r="31" spans="1:13" ht="15.75" thickBot="1" x14ac:dyDescent="0.3">
      <c r="A31" s="413">
        <f>'Alimentatie 2025-01'!A$80</f>
        <v>78</v>
      </c>
      <c r="B31" s="1237" t="str">
        <f>SUBSTITUTE('Alimentatie 2025-01'!B$80,":","")</f>
        <v>Belastbaar resultaat uit overige werkzaamheden</v>
      </c>
      <c r="C31" s="1796"/>
      <c r="D31" s="1276">
        <f>AL78OverigeWerkz_AP</f>
        <v>0</v>
      </c>
      <c r="E31" s="1796"/>
      <c r="F31" s="1276">
        <f>AL78OverigeWerkz_AG</f>
        <v>0</v>
      </c>
    </row>
    <row r="32" spans="1:13" ht="15.75" thickBot="1" x14ac:dyDescent="0.3">
      <c r="A32" s="1231"/>
      <c r="B32" s="1240" t="s">
        <v>712</v>
      </c>
      <c r="C32" s="445"/>
      <c r="D32" s="445">
        <f>SUM(D28:D31)</f>
        <v>0</v>
      </c>
      <c r="E32" s="445"/>
      <c r="F32" s="445">
        <f>SUM(F28:F31)</f>
        <v>0</v>
      </c>
    </row>
    <row r="33" spans="1:11" x14ac:dyDescent="0.25">
      <c r="A33" s="1246">
        <f>'Alimentatie 2025-01'!A$145</f>
        <v>98</v>
      </c>
      <c r="B33" s="1241" t="str">
        <f>SUBSTITUTE('Alimentatie 2025-01'!B$145,":","")</f>
        <v>Inkomen uit aanmerkelijk belang</v>
      </c>
      <c r="C33" s="1795"/>
      <c r="D33" s="442">
        <f>'Alimentatie 2025-01'!D$145</f>
        <v>0</v>
      </c>
      <c r="E33" s="1795"/>
      <c r="F33" s="442">
        <f>'Alimentatie 2025-01'!G145</f>
        <v>0</v>
      </c>
    </row>
    <row r="34" spans="1:11" ht="15.75" thickBot="1" x14ac:dyDescent="0.3">
      <c r="A34" s="414">
        <f>'Alimentatie 2025-01'!A$155</f>
        <v>103</v>
      </c>
      <c r="B34" s="1239" t="str">
        <f>SUBSTITUTE('Alimentatie 2025-01'!B$155,":","")</f>
        <v>Werkelijke vermogensinkomsten</v>
      </c>
      <c r="C34" s="1797"/>
      <c r="D34" s="531">
        <f>'Alimentatie 2025-01'!D$155</f>
        <v>0</v>
      </c>
      <c r="E34" s="1797"/>
      <c r="F34" s="531">
        <f>'Alimentatie 2025-01'!G155</f>
        <v>0</v>
      </c>
      <c r="K34" s="1233"/>
    </row>
    <row r="35" spans="1:11" ht="15.75" thickBot="1" x14ac:dyDescent="0.3">
      <c r="A35" s="1232"/>
      <c r="B35" s="1242" t="s">
        <v>714</v>
      </c>
      <c r="C35" s="453"/>
      <c r="D35" s="453">
        <f>SUM(D33:D34)</f>
        <v>0</v>
      </c>
      <c r="E35" s="453"/>
      <c r="F35" s="453">
        <f>SUM(F33:F34)</f>
        <v>0</v>
      </c>
    </row>
    <row r="36" spans="1:11" x14ac:dyDescent="0.25">
      <c r="A36" s="413">
        <f>'Alimentatie 2025-01'!A216</f>
        <v>118</v>
      </c>
      <c r="B36" s="1243" t="str">
        <f>'Alimentatie 2025-01'!B216</f>
        <v>Onbelast deel waarde vakantiebonnen</v>
      </c>
      <c r="C36" s="1796"/>
      <c r="D36" s="1276">
        <f>'Alimentatie 2025-01'!D216</f>
        <v>0</v>
      </c>
      <c r="E36" s="1796" t="s">
        <v>73</v>
      </c>
      <c r="F36" s="1276">
        <f>'Alimentatie 2025-01'!G216</f>
        <v>0</v>
      </c>
      <c r="I36" s="783"/>
      <c r="J36" s="783"/>
      <c r="K36" s="783"/>
    </row>
    <row r="37" spans="1:11" ht="15.75" thickBot="1" x14ac:dyDescent="0.3">
      <c r="A37" s="739">
        <f>'Alimentatie 2025-01'!A219</f>
        <v>119</v>
      </c>
      <c r="B37" s="1244" t="str">
        <f>'Alimentatie 2025-01'!B219</f>
        <v>(Kleine) Netto inkomsten</v>
      </c>
      <c r="C37" s="1798"/>
      <c r="D37" s="1794">
        <f>'Alimentatie 2025-01'!D$219</f>
        <v>0</v>
      </c>
      <c r="E37" s="1798" t="s">
        <v>73</v>
      </c>
      <c r="F37" s="1794">
        <f>'Alimentatie 2025-01'!G219</f>
        <v>0</v>
      </c>
    </row>
    <row r="38" spans="1:11" ht="15.75" thickBot="1" x14ac:dyDescent="0.3">
      <c r="A38" s="497"/>
      <c r="B38" s="1245" t="s">
        <v>715</v>
      </c>
      <c r="C38" s="439"/>
      <c r="D38" s="439">
        <f>SUM(D36:D37)</f>
        <v>0</v>
      </c>
      <c r="E38" s="439"/>
      <c r="F38" s="439">
        <f>SUM(F36:F37)</f>
        <v>0</v>
      </c>
    </row>
    <row r="39" spans="1:11" ht="15.75" thickBot="1" x14ac:dyDescent="0.3">
      <c r="A39" s="413"/>
      <c r="B39" s="1237" t="s">
        <v>713</v>
      </c>
      <c r="C39" s="1796"/>
      <c r="D39" s="1276">
        <f>F39*-1</f>
        <v>0</v>
      </c>
      <c r="E39" s="1796"/>
      <c r="F39" s="1276">
        <f>J19</f>
        <v>0</v>
      </c>
    </row>
    <row r="40" spans="1:11" ht="15.75" thickBot="1" x14ac:dyDescent="0.3">
      <c r="A40" s="497"/>
      <c r="B40" s="1245" t="s">
        <v>716</v>
      </c>
      <c r="C40" s="439"/>
      <c r="D40" s="439">
        <f>D32+D35+D38+D39</f>
        <v>0</v>
      </c>
      <c r="E40" s="439"/>
      <c r="F40" s="439">
        <f>F32+F35+F38+F39</f>
        <v>0</v>
      </c>
    </row>
    <row r="41" spans="1:11" ht="15.75" thickBot="1" x14ac:dyDescent="0.3"/>
    <row r="42" spans="1:11" ht="15.75" thickBot="1" x14ac:dyDescent="0.3">
      <c r="A42" s="119" t="s">
        <v>223</v>
      </c>
      <c r="B42" s="723" t="s">
        <v>101</v>
      </c>
      <c r="C42" s="3150" t="str">
        <f>BGPartner_AP</f>
        <v>A. Plichtig</v>
      </c>
      <c r="D42" s="3152"/>
      <c r="E42" s="3148" t="str">
        <f>BGPartner_AG</f>
        <v>A. Gerechtigd</v>
      </c>
      <c r="F42" s="3149"/>
    </row>
    <row r="43" spans="1:11" x14ac:dyDescent="0.25">
      <c r="A43" s="1246">
        <f>'Alimentatie 2025-01'!A$56</f>
        <v>64</v>
      </c>
      <c r="B43" s="1234" t="str">
        <f>'Alimentatie 2025-01'!B$56</f>
        <v>Belastbaar loon:</v>
      </c>
      <c r="C43" s="430">
        <f>AL64BelastbaarLoon_AP</f>
        <v>0</v>
      </c>
      <c r="D43" s="1838" t="s">
        <v>73</v>
      </c>
      <c r="E43" s="430">
        <f>AL64BelastbaarLoon_AG</f>
        <v>0</v>
      </c>
      <c r="F43" s="1833" t="s">
        <v>73</v>
      </c>
    </row>
    <row r="44" spans="1:11" ht="15" customHeight="1" x14ac:dyDescent="0.25">
      <c r="A44" s="413">
        <f>'Alimentatie 2025-01'!A$75</f>
        <v>75</v>
      </c>
      <c r="B44" s="437" t="str">
        <f>'Alimentatie 2025-01'!B$75</f>
        <v>Belastbare winst uit onderneming:</v>
      </c>
      <c r="C44" s="451">
        <f>AL75BelastbareWinst_AP</f>
        <v>0</v>
      </c>
      <c r="D44" s="1839" t="s">
        <v>73</v>
      </c>
      <c r="E44" s="451">
        <f>AL75BelastbareWinst_AG</f>
        <v>0</v>
      </c>
      <c r="F44" s="1834" t="s">
        <v>73</v>
      </c>
    </row>
    <row r="45" spans="1:11" ht="15" customHeight="1" x14ac:dyDescent="0.25">
      <c r="A45" s="413">
        <f>'Alimentatie 2025-01'!A$80</f>
        <v>78</v>
      </c>
      <c r="B45" s="437" t="str">
        <f>'Alimentatie 2025-01'!B$80</f>
        <v>Belastbaar resultaat uit overige werkzaamheden:</v>
      </c>
      <c r="C45" s="451">
        <f>AL78OverigeWerkz_AP</f>
        <v>0</v>
      </c>
      <c r="D45" s="1839" t="s">
        <v>73</v>
      </c>
      <c r="E45" s="451">
        <f>AL78OverigeWerkz_AG</f>
        <v>0</v>
      </c>
      <c r="F45" s="1834" t="s">
        <v>73</v>
      </c>
      <c r="H45" s="1"/>
      <c r="I45" s="1"/>
      <c r="J45" s="1"/>
      <c r="K45" s="1"/>
    </row>
    <row r="46" spans="1:11" ht="15" customHeight="1" x14ac:dyDescent="0.25">
      <c r="A46" s="413">
        <f>'Alimentatie 2025-01'!A$86</f>
        <v>81</v>
      </c>
      <c r="B46" s="437" t="str">
        <f>'Alimentatie 2025-01'!B$86</f>
        <v>Belastbare periodieke uitkeringen en verstrekkingen:</v>
      </c>
      <c r="C46" s="451">
        <f>AL81PeriodiekeUitk_AP</f>
        <v>0</v>
      </c>
      <c r="D46" s="1839" t="s">
        <v>73</v>
      </c>
      <c r="E46" s="451">
        <f>AL81PeriodiekeUitk_AG</f>
        <v>0</v>
      </c>
      <c r="F46" s="1834" t="s">
        <v>73</v>
      </c>
      <c r="H46" s="1"/>
      <c r="I46" s="1"/>
      <c r="J46" s="1"/>
      <c r="K46" s="1"/>
    </row>
    <row r="47" spans="1:11" ht="15" customHeight="1" x14ac:dyDescent="0.25">
      <c r="A47" s="413">
        <f>'Alimentatie 2025-01'!A$89</f>
        <v>81</v>
      </c>
      <c r="B47" s="1822" t="str">
        <f>'Alimentatie 2025-01'!B89</f>
        <v>OEW Fictief inkomen: Eigen Woning Forfait ontvangen als partneralimentatie</v>
      </c>
      <c r="C47" s="451">
        <f>IF(BGOEWRekenModule="Nee",0,BGOEW81EWFPA_AP)</f>
        <v>0</v>
      </c>
      <c r="D47" s="1839" t="s">
        <v>73</v>
      </c>
      <c r="E47" s="451">
        <f>IF(BGOEWRekenModule="Nee",0,BGOEW81EWFPA_AG)</f>
        <v>0</v>
      </c>
      <c r="F47" s="1834" t="s">
        <v>73</v>
      </c>
      <c r="H47" s="1"/>
      <c r="I47" s="1"/>
      <c r="J47" s="1"/>
      <c r="K47" s="1"/>
    </row>
    <row r="48" spans="1:11" x14ac:dyDescent="0.25">
      <c r="A48" s="413">
        <f>'Alimentatie 2025-01'!A90</f>
        <v>81</v>
      </c>
      <c r="B48" s="437" t="str">
        <f>'Alimentatie 2025-01'!B90</f>
        <v>OEW Fictief inkomen: Rente ontvangen als partneralimentatie</v>
      </c>
      <c r="C48" s="451">
        <f>IF(BGOEWRekenModule="Nee",0,BGOEW81RentePA_AP)</f>
        <v>0</v>
      </c>
      <c r="D48" s="1839"/>
      <c r="E48" s="451">
        <f>IF(BGOEWRekenModule="Nee",0,BGOEW81RentePA_AG)</f>
        <v>0</v>
      </c>
      <c r="F48" s="1834"/>
      <c r="H48" s="1"/>
      <c r="I48" s="1"/>
      <c r="J48" s="1"/>
      <c r="K48" s="1"/>
    </row>
    <row r="49" spans="1:13" x14ac:dyDescent="0.25">
      <c r="A49" s="413">
        <f>'Alimentatie 2025-01'!A$108</f>
        <v>89</v>
      </c>
      <c r="B49" s="437" t="str">
        <f>'Alimentatie 2025-01'!B108</f>
        <v>Uitgaven voor inkomensvoorziening:</v>
      </c>
      <c r="C49" s="451">
        <f>AL89Inkomensvoorz_AP</f>
        <v>0</v>
      </c>
      <c r="D49" s="1839" t="s">
        <v>68</v>
      </c>
      <c r="E49" s="451">
        <f>AL89Inkomensvoorz_AG</f>
        <v>0</v>
      </c>
      <c r="F49" s="1834" t="s">
        <v>68</v>
      </c>
      <c r="H49" s="1"/>
      <c r="I49" s="1"/>
      <c r="J49" s="1"/>
      <c r="K49" s="1"/>
    </row>
    <row r="50" spans="1:13" x14ac:dyDescent="0.25">
      <c r="A50" s="413">
        <f>'Alimentatie 2025-01'!A$110</f>
        <v>90</v>
      </c>
      <c r="B50" s="437" t="str">
        <f>'Alimentatie 2025-01'!B$110</f>
        <v>Uitgaven voor kinderopvang (vervallen):</v>
      </c>
      <c r="C50" s="451">
        <f>AL90Kinderopvang_AP</f>
        <v>0</v>
      </c>
      <c r="D50" s="1799" t="s">
        <v>68</v>
      </c>
      <c r="E50" s="451">
        <f>AL90Kinderopvang_AG</f>
        <v>0</v>
      </c>
      <c r="F50" s="1800" t="s">
        <v>68</v>
      </c>
      <c r="H50" s="1"/>
      <c r="I50" s="1"/>
      <c r="J50" s="1"/>
      <c r="K50" s="1"/>
    </row>
    <row r="51" spans="1:13" x14ac:dyDescent="0.25">
      <c r="A51" s="413">
        <f>'Alimentatie 2025-01'!A$116</f>
        <v>93</v>
      </c>
      <c r="B51" s="437" t="str">
        <f>'Alimentatie 2025-01'!B$116</f>
        <v>Persoonsgebonden aftrek:</v>
      </c>
      <c r="C51" s="451">
        <f>AL93PersGebAftrek_AP</f>
        <v>0</v>
      </c>
      <c r="D51" s="1799" t="s">
        <v>68</v>
      </c>
      <c r="E51" s="451">
        <f>'Alimentatie 2025-01'!G116</f>
        <v>0</v>
      </c>
      <c r="F51" s="1800" t="s">
        <v>68</v>
      </c>
      <c r="H51" s="1"/>
      <c r="I51" s="1"/>
      <c r="J51" s="1"/>
      <c r="K51" s="1"/>
    </row>
    <row r="52" spans="1:13" x14ac:dyDescent="0.25">
      <c r="A52" s="413">
        <f>'Alimentatie 2025-01'!A$280</f>
        <v>138</v>
      </c>
      <c r="B52" s="727" t="str">
        <f>'Alimentatie 2025-01'!B$280</f>
        <v xml:space="preserve">Alimentatieverplichting (eerdere) ex-partner </v>
      </c>
      <c r="C52" s="461">
        <f>'Alimentatie 2025-01'!D$280*12</f>
        <v>0</v>
      </c>
      <c r="D52" s="1799" t="s">
        <v>68</v>
      </c>
      <c r="E52" s="461">
        <f>('Alimentatie 2025-01'!G280+'Alimentatie 2025-01'!G283)*12</f>
        <v>0</v>
      </c>
      <c r="F52" s="1800" t="s">
        <v>68</v>
      </c>
      <c r="H52" s="1"/>
      <c r="I52" s="1"/>
      <c r="J52" s="1"/>
      <c r="K52" s="1"/>
    </row>
    <row r="53" spans="1:13" ht="15.75" thickBot="1" x14ac:dyDescent="0.3">
      <c r="A53" s="414">
        <f>'Alimentatie 2025-01'!A$283</f>
        <v>138</v>
      </c>
      <c r="B53" s="1823" t="str">
        <f>'Alimentatie 2025-01'!B$283</f>
        <v>OEW: Hypotheekrente betaald voor ex. partner als partneralimentatie</v>
      </c>
      <c r="C53" s="461">
        <f>IF(BGOEWRekenModule="Nee",0,BGOEW138RentePA_AP)</f>
        <v>0</v>
      </c>
      <c r="D53" s="1799" t="s">
        <v>68</v>
      </c>
      <c r="E53" s="461"/>
      <c r="F53" s="1800" t="s">
        <v>68</v>
      </c>
    </row>
    <row r="54" spans="1:13" ht="15.75" thickBot="1" x14ac:dyDescent="0.3">
      <c r="A54" s="497"/>
      <c r="B54" s="1245" t="s">
        <v>719</v>
      </c>
      <c r="C54" s="439">
        <f>SUM(C43:C48)-SUM(C49:C53)</f>
        <v>0</v>
      </c>
      <c r="D54" s="1256"/>
      <c r="E54" s="439">
        <f>SUM(E43:E48)-SUM(E49:E53)</f>
        <v>0</v>
      </c>
      <c r="F54" s="439"/>
      <c r="I54">
        <f>IF(C$56-BGBelastingbedragSchijf3&lt;=0,0,IF(C$56-BGBelastingbedragSchijf3&lt;=(AL70WinstOnderneming_AP-AL75BelastbareWinst_AP)+AL93PersGebAftrek_AP,C$56-BGBelastingbedragSchijf3,(AL70WinstOnderneming_AP-AL75BelastbareWinst_AP)+AL93PersGebAftrek_AP))</f>
        <v>0</v>
      </c>
    </row>
    <row r="55" spans="1:13" ht="15.75" thickBot="1" x14ac:dyDescent="0.3">
      <c r="A55" s="221"/>
      <c r="B55" s="728" t="s">
        <v>717</v>
      </c>
      <c r="C55" s="452">
        <f>J19</f>
        <v>0</v>
      </c>
      <c r="D55" s="1801" t="s">
        <v>68</v>
      </c>
      <c r="E55" s="452">
        <f>J19</f>
        <v>0</v>
      </c>
      <c r="F55" s="1802" t="s">
        <v>68</v>
      </c>
    </row>
    <row r="56" spans="1:13" ht="15.75" thickBot="1" x14ac:dyDescent="0.3">
      <c r="A56" s="1231">
        <v>94</v>
      </c>
      <c r="B56" s="1259" t="s">
        <v>720</v>
      </c>
      <c r="C56" s="445">
        <f>C54-C55</f>
        <v>0</v>
      </c>
      <c r="D56" s="1803"/>
      <c r="E56" s="445">
        <f>E54+E55</f>
        <v>0</v>
      </c>
      <c r="F56" s="1804"/>
      <c r="H56" s="783"/>
    </row>
    <row r="57" spans="1:13" x14ac:dyDescent="0.25">
      <c r="A57" s="1265"/>
      <c r="B57" s="1263" t="s">
        <v>723</v>
      </c>
      <c r="C57" s="1266">
        <f>IF(Basisgegevens!X11&lt;=0,'Alimentatie 2025-01'!D134-(J19*BGBelastingTariefSchijf1),Basisgegevens!X11)</f>
        <v>0</v>
      </c>
      <c r="D57" s="1835" t="s">
        <v>73</v>
      </c>
      <c r="E57" s="1266">
        <f>Basisgegevens!Y11</f>
        <v>0</v>
      </c>
      <c r="F57" s="1835" t="s">
        <v>73</v>
      </c>
      <c r="G57" s="783"/>
      <c r="H57" s="783"/>
      <c r="I57" s="783"/>
    </row>
    <row r="58" spans="1:13" x14ac:dyDescent="0.25">
      <c r="A58" s="1257">
        <f>'Alimentatie 2025-01'!A148</f>
        <v>101</v>
      </c>
      <c r="B58" s="1261" t="str">
        <f>'Alimentatie 2025-01'!B148</f>
        <v>Inkomstebelasting (het o.b.v. belastbaar inkomen geldende tarief is: 24,5%) box II:</v>
      </c>
      <c r="C58" s="1262">
        <f>'Alimentatie 2025-01'!D148</f>
        <v>0</v>
      </c>
      <c r="D58" s="1836" t="s">
        <v>73</v>
      </c>
      <c r="E58" s="1262">
        <f>'Alimentatie 2025-01'!G148</f>
        <v>0</v>
      </c>
      <c r="F58" s="1836" t="s">
        <v>73</v>
      </c>
      <c r="H58" t="s">
        <v>13</v>
      </c>
      <c r="I58">
        <f>AL70WinstOnderneming_AP-AL75BelastbareWinst_AP</f>
        <v>0</v>
      </c>
    </row>
    <row r="59" spans="1:13" ht="15.75" thickBot="1" x14ac:dyDescent="0.3">
      <c r="A59" s="1258">
        <f>'Alimentatie 2025-01'!A176</f>
        <v>112</v>
      </c>
      <c r="B59" s="1267" t="str">
        <f>'Alimentatie 2025-01'!B176</f>
        <v>Inkomstebelasting (vast tarief 36%) box III:</v>
      </c>
      <c r="C59" s="1268">
        <f>'Alimentatie 2025-01'!D176</f>
        <v>0</v>
      </c>
      <c r="D59" s="1837" t="s">
        <v>73</v>
      </c>
      <c r="E59" s="1268">
        <f>'Alimentatie 2025-01'!G176</f>
        <v>0</v>
      </c>
      <c r="F59" s="1837" t="s">
        <v>73</v>
      </c>
      <c r="G59" s="783"/>
      <c r="H59" t="s">
        <v>1154</v>
      </c>
      <c r="I59" t="s">
        <v>1155</v>
      </c>
    </row>
    <row r="60" spans="1:13" x14ac:dyDescent="0.25">
      <c r="A60" s="2262"/>
      <c r="B60" s="2586" t="s">
        <v>721</v>
      </c>
      <c r="C60" s="2271">
        <v>0</v>
      </c>
      <c r="D60" s="2272">
        <f>IF(C$56-BGBelastingbedragSchijf3&lt;=0,0,IF(C$56-BGBelastingbedragSchijf3&lt;=(AL70WinstOnderneming_AP-AL75BelastbareWinst_AP)+AL93PersGebAftrek_AP,C$56-BGBelastingbedragSchijf3,(AL70WinstOnderneming_AP-AL75BelastbareWinst_AP)+AL93PersGebAftrek_AP))</f>
        <v>0</v>
      </c>
      <c r="E60" s="2273">
        <v>0</v>
      </c>
      <c r="F60" s="2272">
        <f>IF(E$56-BGBelastingbedragSchijf3&lt;=0,0,IF(E$56-BGBelastingbedragSchijf3&lt;=(AL70WinstOnderneming_AG-AL75BelastbareWinst_AG)+AL93PersGebAftrek_AG,E$56-BGBelastingbedragSchijf3,(AL70WinstOnderneming_AG-AL75BelastbareWinst_AG)+AL93PersGebAftrek_AG))</f>
        <v>0</v>
      </c>
    </row>
    <row r="61" spans="1:13" ht="15.75" thickBot="1" x14ac:dyDescent="0.3">
      <c r="A61" s="2263"/>
      <c r="B61" s="1397" t="s">
        <v>722</v>
      </c>
      <c r="C61" s="2274">
        <f>IF(D60&lt;=0,0,D60*(BGBelastingTariefSchijf3-BGBelastingTariefBeperking))</f>
        <v>0</v>
      </c>
      <c r="D61" s="2587"/>
      <c r="E61" s="2274">
        <f>IF(F60&lt;=0,0,F60*(BGBelastingTariefSchijf3-BGBelastingTariefBeperking))</f>
        <v>0</v>
      </c>
      <c r="F61" s="2587"/>
      <c r="M61" s="1846"/>
    </row>
    <row r="62" spans="1:13" ht="15.75" thickBot="1" x14ac:dyDescent="0.3">
      <c r="A62" s="1232"/>
      <c r="B62" s="738" t="s">
        <v>1064</v>
      </c>
      <c r="C62" s="439">
        <f>SUM(C57:C61)</f>
        <v>0</v>
      </c>
      <c r="D62" s="1256"/>
      <c r="E62" s="439">
        <f>SUM(E57:E61)</f>
        <v>0</v>
      </c>
      <c r="F62" s="487"/>
    </row>
    <row r="63" spans="1:13" ht="15.75" thickBot="1" x14ac:dyDescent="0.3">
      <c r="A63" s="523"/>
      <c r="C63" s="524"/>
      <c r="E63" s="524"/>
    </row>
    <row r="64" spans="1:13" ht="15.75" thickBot="1" x14ac:dyDescent="0.3">
      <c r="A64" s="512"/>
      <c r="B64" s="722" t="s">
        <v>457</v>
      </c>
      <c r="C64" s="3150" t="str">
        <f>BGPartner_AP</f>
        <v>A. Plichtig</v>
      </c>
      <c r="D64" s="3152"/>
      <c r="E64" s="3150" t="str">
        <f>BGPartner_AG</f>
        <v>A. Gerechtigd</v>
      </c>
      <c r="F64" s="3152"/>
    </row>
    <row r="65" spans="1:7" x14ac:dyDescent="0.25">
      <c r="A65" s="510"/>
      <c r="B65" s="724" t="s">
        <v>119</v>
      </c>
      <c r="C65" s="511">
        <f>IF(BGAOWLeeftijdBereikt_AP="Nee",Basisgegevens!Q101,Basisgegevens!Q110)</f>
        <v>0</v>
      </c>
      <c r="D65" s="1805" t="s">
        <v>73</v>
      </c>
      <c r="E65" s="744">
        <f>IF(BGAOWLeeftijdBereikt_AG="Nee",Basisgegevens!R101,Basisgegevens!R110)</f>
        <v>0</v>
      </c>
      <c r="F65" s="1805" t="s">
        <v>73</v>
      </c>
    </row>
    <row r="66" spans="1:7" x14ac:dyDescent="0.25">
      <c r="A66" s="496"/>
      <c r="B66" s="725" t="s">
        <v>118</v>
      </c>
      <c r="C66" s="461">
        <f>IF(BGAOWLeeftijdBereikt_AP="Nee",Basisgegevens!Q121,Basisgegevens!Q130)</f>
        <v>0</v>
      </c>
      <c r="D66" s="1806" t="s">
        <v>73</v>
      </c>
      <c r="E66" s="745">
        <f>IF(BGAOWLeeftijdBereikt_AG="Nee",Basisgegevens!R121,Basisgegevens!R130)</f>
        <v>0</v>
      </c>
      <c r="F66" s="1806" t="s">
        <v>73</v>
      </c>
    </row>
    <row r="67" spans="1:7" x14ac:dyDescent="0.25">
      <c r="A67" s="496"/>
      <c r="B67" s="725" t="s">
        <v>36</v>
      </c>
      <c r="C67" s="461" t="str">
        <f>IF(OR(Basisgegevens!Q84="n.v.t",Basisgegevens!Q84="zie AOW-tabel"),Basisgegevens!Q92,Basisgegevens!Q84)</f>
        <v>n.v.t</v>
      </c>
      <c r="D67" s="1806" t="s">
        <v>73</v>
      </c>
      <c r="E67" s="745" t="str">
        <f>IF(OR(Basisgegevens!R84="n.v.t",Basisgegevens!R84="zie AOW-tabel"),Basisgegevens!R92,Basisgegevens!R84)</f>
        <v>n.v.t</v>
      </c>
      <c r="F67" s="1806" t="s">
        <v>73</v>
      </c>
    </row>
    <row r="68" spans="1:7" x14ac:dyDescent="0.25">
      <c r="A68" s="496"/>
      <c r="B68" s="725" t="s">
        <v>37</v>
      </c>
      <c r="C68" s="461" t="str">
        <f>Basisgegevens!Q138</f>
        <v>n.v.t</v>
      </c>
      <c r="D68" s="1806" t="s">
        <v>73</v>
      </c>
      <c r="E68" s="745" t="str">
        <f>Basisgegevens!R138</f>
        <v>n.v.t</v>
      </c>
      <c r="F68" s="1806" t="s">
        <v>73</v>
      </c>
    </row>
    <row r="69" spans="1:7" x14ac:dyDescent="0.25">
      <c r="A69" s="496"/>
      <c r="B69" s="725" t="s">
        <v>124</v>
      </c>
      <c r="C69" s="461" t="str">
        <f>Basisgegevens!N56</f>
        <v>n.v.t</v>
      </c>
      <c r="D69" s="1806" t="s">
        <v>73</v>
      </c>
      <c r="E69" s="745" t="str">
        <f>Basisgegevens!O56</f>
        <v>n.v.t</v>
      </c>
      <c r="F69" s="1806" t="s">
        <v>73</v>
      </c>
    </row>
    <row r="70" spans="1:7" ht="15.75" thickBot="1" x14ac:dyDescent="0.3">
      <c r="A70" s="9"/>
      <c r="B70" s="726" t="s">
        <v>459</v>
      </c>
      <c r="C70" s="452">
        <f>'Alimentatie 2025-01'!D189</f>
        <v>0</v>
      </c>
      <c r="D70" s="1807" t="s">
        <v>73</v>
      </c>
      <c r="E70" s="746">
        <f>'Alimentatie 2025-01'!G189</f>
        <v>0</v>
      </c>
      <c r="F70" s="1807" t="s">
        <v>73</v>
      </c>
    </row>
    <row r="71" spans="1:7" ht="15.75" thickBot="1" x14ac:dyDescent="0.3">
      <c r="A71" s="497">
        <f>'Alimentatie 2025-01'!A190</f>
        <v>116</v>
      </c>
      <c r="B71" s="720" t="s">
        <v>458</v>
      </c>
      <c r="C71" s="439">
        <f>SUM(C65:C70)</f>
        <v>0</v>
      </c>
      <c r="D71" s="487"/>
      <c r="E71" s="486">
        <f>SUM(E65:E70)</f>
        <v>0</v>
      </c>
      <c r="F71" s="487"/>
    </row>
    <row r="72" spans="1:7" ht="15.75" thickBot="1" x14ac:dyDescent="0.3">
      <c r="A72" s="108">
        <f>'Alimentatie 2025-01'!A191</f>
        <v>117</v>
      </c>
      <c r="B72" s="1264" t="s">
        <v>1071</v>
      </c>
      <c r="C72" s="1808"/>
      <c r="D72" s="109">
        <f>IF(C62-C71&lt;0,0,C62-C71)</f>
        <v>0</v>
      </c>
      <c r="E72" s="1809"/>
      <c r="F72" s="109">
        <f>IF(E62-E71&lt;0,0,E62-E71)</f>
        <v>0</v>
      </c>
    </row>
    <row r="73" spans="1:7" ht="15.75" thickBot="1" x14ac:dyDescent="0.3">
      <c r="A73" s="523"/>
      <c r="C73" s="524"/>
      <c r="E73" s="524"/>
    </row>
    <row r="74" spans="1:7" ht="15.75" thickBot="1" x14ac:dyDescent="0.3">
      <c r="A74" s="2264"/>
      <c r="B74" s="2265" t="s">
        <v>1066</v>
      </c>
      <c r="C74" s="3150" t="str">
        <f>BGPartner_AP</f>
        <v>A. Plichtig</v>
      </c>
      <c r="D74" s="3151"/>
      <c r="E74" s="3150" t="str">
        <f>BGPartner_AG</f>
        <v>A. Gerechtigd</v>
      </c>
      <c r="F74" s="3151"/>
    </row>
    <row r="75" spans="1:7" x14ac:dyDescent="0.25">
      <c r="A75" s="170"/>
      <c r="B75" s="2266" t="s">
        <v>460</v>
      </c>
      <c r="C75" s="2281"/>
      <c r="D75" s="430">
        <f>D40-D72</f>
        <v>0</v>
      </c>
      <c r="E75" s="2283" t="s">
        <v>73</v>
      </c>
      <c r="F75" s="430">
        <f>F40-F72</f>
        <v>0</v>
      </c>
      <c r="G75" t="s">
        <v>73</v>
      </c>
    </row>
    <row r="76" spans="1:7" ht="15.75" thickBot="1" x14ac:dyDescent="0.3">
      <c r="A76" s="191"/>
      <c r="B76" s="2267" t="str">
        <f>"Te betalen Partneralimentatie door "&amp;C74</f>
        <v>Te betalen Partneralimentatie door A. Plichtig</v>
      </c>
      <c r="C76" s="2282"/>
      <c r="D76" s="451">
        <f>J19</f>
        <v>0</v>
      </c>
      <c r="E76" s="2284" t="s">
        <v>73</v>
      </c>
      <c r="F76" s="451"/>
      <c r="G76" t="s">
        <v>73</v>
      </c>
    </row>
    <row r="77" spans="1:7" ht="15.75" thickBot="1" x14ac:dyDescent="0.3">
      <c r="A77" s="1231"/>
      <c r="B77" s="2270" t="s">
        <v>1065</v>
      </c>
      <c r="C77" s="1256"/>
      <c r="D77" s="439">
        <f>SUM(D75:D76)</f>
        <v>0</v>
      </c>
      <c r="E77" s="1256"/>
      <c r="F77" s="439">
        <f>SUM(F75:F76)</f>
        <v>0</v>
      </c>
      <c r="G77" s="1861"/>
    </row>
    <row r="78" spans="1:7" x14ac:dyDescent="0.25">
      <c r="A78" s="1246">
        <f>'Alimentatie 2025-01'!A108</f>
        <v>89</v>
      </c>
      <c r="B78" s="2286" t="str">
        <f>'Alimentatie 2025-01'!B108</f>
        <v>Uitgaven voor inkomensvoorziening:</v>
      </c>
      <c r="C78" s="1791"/>
      <c r="D78" s="430">
        <f>'Alimentatie 2025-01'!D108</f>
        <v>0</v>
      </c>
      <c r="E78" s="2293" t="s">
        <v>724</v>
      </c>
      <c r="F78" s="430">
        <f>'Alimentatie 2025-01'!G108</f>
        <v>0</v>
      </c>
      <c r="G78" s="1861" t="s">
        <v>68</v>
      </c>
    </row>
    <row r="79" spans="1:7" x14ac:dyDescent="0.25">
      <c r="A79" s="413" t="str">
        <f>A11</f>
        <v>125-134</v>
      </c>
      <c r="B79" s="2287" t="str">
        <f>TRIM(B11)</f>
        <v>Niet vermijdbare en aantoonbare extra lasten per maand (post 125 t/m 134):</v>
      </c>
      <c r="C79" s="1790"/>
      <c r="D79" s="451">
        <f>Woonlasten_afwijkend!D44*12</f>
        <v>0</v>
      </c>
      <c r="E79" s="2294" t="s">
        <v>724</v>
      </c>
      <c r="F79" s="451">
        <f>Woonlasten_afwijkend!F44*12</f>
        <v>0</v>
      </c>
      <c r="G79" s="1861" t="s">
        <v>68</v>
      </c>
    </row>
    <row r="80" spans="1:7" x14ac:dyDescent="0.25">
      <c r="A80" s="413"/>
      <c r="B80" s="2287" t="s">
        <v>1068</v>
      </c>
      <c r="C80" s="1790"/>
      <c r="D80" s="451"/>
      <c r="E80" s="2294" t="s">
        <v>724</v>
      </c>
      <c r="F80" s="451"/>
      <c r="G80" s="1861" t="s">
        <v>68</v>
      </c>
    </row>
    <row r="81" spans="1:7" ht="15.75" thickBot="1" x14ac:dyDescent="0.3">
      <c r="A81" s="414">
        <f>'Alimentatie 2025-01'!A267</f>
        <v>134</v>
      </c>
      <c r="B81" s="2288" t="s">
        <v>1067</v>
      </c>
      <c r="C81" s="2285"/>
      <c r="D81" s="452">
        <f>'Alimentatie 2025-01'!D267*12</f>
        <v>0</v>
      </c>
      <c r="E81" s="2295" t="s">
        <v>724</v>
      </c>
      <c r="F81" s="452"/>
      <c r="G81" s="1861" t="s">
        <v>68</v>
      </c>
    </row>
    <row r="82" spans="1:7" ht="15.75" thickBot="1" x14ac:dyDescent="0.3">
      <c r="A82"/>
      <c r="C82"/>
      <c r="D82"/>
      <c r="E82"/>
      <c r="F82"/>
      <c r="G82" s="1861"/>
    </row>
    <row r="83" spans="1:7" ht="15.75" thickBot="1" x14ac:dyDescent="0.3">
      <c r="A83" s="119"/>
      <c r="B83" s="2292" t="s">
        <v>876</v>
      </c>
      <c r="C83" s="3148" t="str">
        <f>BGPartner_AP</f>
        <v>A. Plichtig</v>
      </c>
      <c r="D83" s="3149"/>
      <c r="E83" s="3148" t="str">
        <f>BGPartner_AG</f>
        <v>A. Gerechtigd</v>
      </c>
      <c r="F83" s="3149"/>
    </row>
    <row r="84" spans="1:7" x14ac:dyDescent="0.25">
      <c r="A84" s="412" t="str">
        <f>'Alimentatie 2025-01'!A233</f>
        <v>44/47/48</v>
      </c>
      <c r="B84" s="2289" t="str">
        <f>'Alimentatie 2025-01'!B233</f>
        <v>Bruto arbeidsinkomen uit dienstbetrekking (1 en 2) als DGA? Nee (AP) / Nee (AG)</v>
      </c>
      <c r="C84" s="2290"/>
      <c r="D84" s="1249">
        <f>'Alimentatie 2025-01'!D233</f>
        <v>0</v>
      </c>
      <c r="E84" s="2291" t="s">
        <v>68</v>
      </c>
      <c r="F84" s="1249">
        <f>'Alimentatie 2025-01'!G233</f>
        <v>0</v>
      </c>
    </row>
    <row r="85" spans="1:7" x14ac:dyDescent="0.25">
      <c r="A85" s="413">
        <f>'Alimentatie 2025-01'!A234</f>
        <v>42</v>
      </c>
      <c r="B85" s="2276" t="str">
        <f>'Alimentatie 2025-01'!B234</f>
        <v>Bruto AOW-uitkering (geen premies werknemersverzekeringen)</v>
      </c>
      <c r="C85" s="2268"/>
      <c r="D85" s="246">
        <f>'Alimentatie 2025-01'!D234</f>
        <v>0</v>
      </c>
      <c r="E85" s="2278" t="s">
        <v>68</v>
      </c>
      <c r="F85" s="246">
        <f>'Alimentatie 2025-01'!G234</f>
        <v>0</v>
      </c>
    </row>
    <row r="86" spans="1:7" x14ac:dyDescent="0.25">
      <c r="A86" s="413">
        <f>'Alimentatie 2025-01'!A235</f>
        <v>50</v>
      </c>
      <c r="B86" s="2276" t="str">
        <f>'Alimentatie 2025-01'!B235</f>
        <v>Bruto pensioen (vakantietoeslag niet altijd inbegrepen)</v>
      </c>
      <c r="C86" s="2268"/>
      <c r="D86" s="246">
        <f>'Alimentatie 2025-01'!D235</f>
        <v>0</v>
      </c>
      <c r="E86" s="2279" t="s">
        <v>68</v>
      </c>
      <c r="F86" s="246">
        <f>'Alimentatie 2025-01'!G235</f>
        <v>0</v>
      </c>
    </row>
    <row r="87" spans="1:7" ht="15.75" thickBot="1" x14ac:dyDescent="0.3">
      <c r="A87" s="414" t="str">
        <f>'Alimentatie 2025-01'!A197</f>
        <v>41/57</v>
      </c>
      <c r="B87" s="2277" t="str">
        <f>'Alimentatie 2025-01'!B$197</f>
        <v>Ink.afhankelijke bijdrage premie ZVW al betaald bij post 41 Looninkomsten</v>
      </c>
      <c r="C87" s="2269"/>
      <c r="D87" s="1253">
        <f>'Alimentatie 2025-01'!E$197</f>
        <v>0</v>
      </c>
      <c r="E87" s="2280" t="s">
        <v>68</v>
      </c>
      <c r="F87" s="1253">
        <f>'Alimentatie 2025-01'!H$197</f>
        <v>0</v>
      </c>
      <c r="G87" s="1861"/>
    </row>
    <row r="88" spans="1:7" ht="15.75" thickBot="1" x14ac:dyDescent="0.3"/>
    <row r="89" spans="1:7" ht="15.75" thickBot="1" x14ac:dyDescent="0.3">
      <c r="A89" s="1272" t="s">
        <v>223</v>
      </c>
      <c r="B89" s="1273" t="s">
        <v>467</v>
      </c>
      <c r="C89" s="3150" t="str">
        <f>BGPartner_AP</f>
        <v>A. Plichtig</v>
      </c>
      <c r="D89" s="3152"/>
      <c r="E89" s="3148" t="str">
        <f>BGPartner_AG</f>
        <v>A. Gerechtigd</v>
      </c>
      <c r="F89" s="3149"/>
    </row>
    <row r="90" spans="1:7" x14ac:dyDescent="0.25">
      <c r="A90" s="1246">
        <f>'Alimentatie 2025-01'!A291</f>
        <v>141</v>
      </c>
      <c r="B90" s="1825" t="str">
        <f>'Alimentatie 2025-01'!B293</f>
        <v>Eigen aandeel kosten kinderen</v>
      </c>
      <c r="C90" s="430">
        <f>'Alimentatie 2025-01'!D293*12</f>
        <v>0</v>
      </c>
      <c r="D90" s="1867" t="s">
        <v>73</v>
      </c>
      <c r="E90" s="476">
        <f>'Alimentatie 2025-01'!G293*12</f>
        <v>0</v>
      </c>
      <c r="F90" s="1867" t="s">
        <v>1070</v>
      </c>
    </row>
    <row r="91" spans="1:7" x14ac:dyDescent="0.25">
      <c r="A91" s="413">
        <f>'Alimentatie 2025-01'!A291</f>
        <v>141</v>
      </c>
      <c r="B91" s="1274" t="str">
        <f>'Alimentatie 2025-01'!B292</f>
        <v>Verblijfskosten kinderen (Zorgkorting)</v>
      </c>
      <c r="C91" s="451">
        <f>'Alimentatie 2025-01'!D292*12</f>
        <v>0</v>
      </c>
      <c r="D91" s="1868" t="s">
        <v>73</v>
      </c>
      <c r="E91" s="477">
        <f>'Alimentatie 2025-01'!G292*12</f>
        <v>0</v>
      </c>
      <c r="F91" s="1868" t="s">
        <v>73</v>
      </c>
    </row>
    <row r="92" spans="1:7" x14ac:dyDescent="0.25">
      <c r="A92" s="1828">
        <f>'Alimentatie 2025-01'!A291</f>
        <v>141</v>
      </c>
      <c r="B92" s="1830" t="str">
        <f>'Alimentatie 2025-01'!B291</f>
        <v>Kinderalimentatie</v>
      </c>
      <c r="C92" s="1262">
        <f>'Alimentatie 2025-01'!D291*12</f>
        <v>0</v>
      </c>
      <c r="D92" s="1869" t="s">
        <v>73</v>
      </c>
      <c r="E92" s="1262">
        <f>'Alimentatie 2025-01'!G291*12</f>
        <v>0</v>
      </c>
      <c r="F92" s="1869" t="s">
        <v>73</v>
      </c>
    </row>
    <row r="93" spans="1:7" x14ac:dyDescent="0.25">
      <c r="A93" s="1828" t="str">
        <f>'Alimentatie 2025-01'!A279</f>
        <v>137a</v>
      </c>
      <c r="B93" s="1830" t="str">
        <f>'Alimentatie 2025-01'!B279</f>
        <v>Andere onderhoudsverplichtingen</v>
      </c>
      <c r="C93" s="1262">
        <f>'Alimentatie 2025-01'!D279*12</f>
        <v>0</v>
      </c>
      <c r="D93" s="1869" t="s">
        <v>73</v>
      </c>
      <c r="E93" s="1262">
        <f>'Alimentatie 2025-01'!G279*12</f>
        <v>0</v>
      </c>
      <c r="F93" s="1869" t="s">
        <v>73</v>
      </c>
    </row>
    <row r="94" spans="1:7" ht="15.75" thickBot="1" x14ac:dyDescent="0.3">
      <c r="A94" s="739" t="str">
        <f>'Alimentatie 2025-01'!A295</f>
        <v>141c</v>
      </c>
      <c r="B94" s="1255" t="str">
        <f>'Alimentatie 2025-01'!B295</f>
        <v>Andere onderhoudsverplichtingen</v>
      </c>
      <c r="C94" s="461">
        <f>'Alimentatie 2025-01'!D295*12</f>
        <v>0</v>
      </c>
      <c r="D94" s="1870" t="s">
        <v>73</v>
      </c>
      <c r="E94" s="479">
        <f>'Alimentatie 2025-01'!G295*12</f>
        <v>0</v>
      </c>
      <c r="F94" s="1870" t="s">
        <v>73</v>
      </c>
    </row>
    <row r="95" spans="1:7" ht="15.75" thickBot="1" x14ac:dyDescent="0.3">
      <c r="A95" s="1841"/>
      <c r="B95" s="1842" t="s">
        <v>1072</v>
      </c>
      <c r="C95" s="1843">
        <f>SUM(C90:C94)</f>
        <v>0</v>
      </c>
      <c r="D95" s="1843"/>
      <c r="E95" s="1844">
        <f>SUM(E90:E94)</f>
        <v>0</v>
      </c>
      <c r="F95" s="1843"/>
    </row>
    <row r="96" spans="1:7" ht="15.75" thickBot="1" x14ac:dyDescent="0.3">
      <c r="A96" s="1840"/>
      <c r="B96" s="1845" t="s">
        <v>877</v>
      </c>
      <c r="C96" s="489">
        <f>IF(BGKGBbij119a="Ja",IF('Alimentatie 2025-01'!E222&gt;=C90,C90,C90-'Alimentatie 2025-01'!E222),0)</f>
        <v>0</v>
      </c>
      <c r="D96" s="1826" t="s">
        <v>68</v>
      </c>
      <c r="E96" s="1832">
        <f>IF(BGKGBbij119a="Ja",IF('Alimentatie 2025-01'!H222&gt;=E90,E90,E90-'Alimentatie 2025-01'!H222),0)</f>
        <v>0</v>
      </c>
      <c r="F96" s="1826" t="s">
        <v>68</v>
      </c>
      <c r="G96" s="1824" t="s">
        <v>68</v>
      </c>
    </row>
    <row r="97" spans="1:7" ht="15.75" thickBot="1" x14ac:dyDescent="0.3">
      <c r="A97" s="497"/>
      <c r="B97" s="738" t="s">
        <v>1069</v>
      </c>
      <c r="C97" s="439">
        <f>C95-C96</f>
        <v>0</v>
      </c>
      <c r="D97" s="487">
        <f>C97</f>
        <v>0</v>
      </c>
      <c r="E97" s="2275">
        <f>E95-E96</f>
        <v>0</v>
      </c>
      <c r="F97" s="439">
        <f>E97</f>
        <v>0</v>
      </c>
    </row>
    <row r="98" spans="1:7" x14ac:dyDescent="0.25">
      <c r="A98" s="1827">
        <f>'Alimentatie 2025-01'!A$280</f>
        <v>138</v>
      </c>
      <c r="B98" s="1829" t="str">
        <f>'Alimentatie 2025-01'!B$280</f>
        <v xml:space="preserve">Alimentatieverplichting (eerdere) ex-partner </v>
      </c>
      <c r="C98" s="1791"/>
      <c r="D98" s="442">
        <f>'Alimentatie 2025-01'!D280*12</f>
        <v>0</v>
      </c>
      <c r="E98" s="2298" t="s">
        <v>68</v>
      </c>
      <c r="F98" s="442">
        <f>'Alimentatie 2025-01'!G280*12</f>
        <v>0</v>
      </c>
      <c r="G98" s="2299" t="s">
        <v>68</v>
      </c>
    </row>
    <row r="99" spans="1:7" x14ac:dyDescent="0.25">
      <c r="A99" s="1828">
        <f>'Alimentatie 2025-01'!A$283</f>
        <v>138</v>
      </c>
      <c r="B99" s="1830" t="str">
        <f>'Alimentatie 2025-01'!B$283</f>
        <v>OEW: Hypotheekrente betaald voor ex. partner als partneralimentatie</v>
      </c>
      <c r="C99" s="1790"/>
      <c r="D99" s="1276">
        <f>IF(BGOEWRekenModule="Nee",0,BGOEW138RentePA_AP)</f>
        <v>0</v>
      </c>
      <c r="E99" s="2294" t="s">
        <v>68</v>
      </c>
      <c r="F99" s="1276">
        <f>IF(BGOEWRekenModule="Nee",0,BGOEW138RentePA_AG)</f>
        <v>0</v>
      </c>
      <c r="G99" s="2299" t="s">
        <v>68</v>
      </c>
    </row>
    <row r="100" spans="1:7" x14ac:dyDescent="0.25">
      <c r="A100" s="1828">
        <v>138</v>
      </c>
      <c r="B100" s="1830" t="str">
        <f>'Alimentatie 2025-01'!B$284</f>
        <v>OEW: Hypotheekaflossing betaald voor ex-partner als partneralimentatie</v>
      </c>
      <c r="C100" s="1790"/>
      <c r="D100" s="1276">
        <f>'Alimentatie 2025-01'!D284*12</f>
        <v>0</v>
      </c>
      <c r="E100" s="2294" t="s">
        <v>68</v>
      </c>
      <c r="F100" s="1276">
        <f>'Alimentatie 2025-01'!G284*12</f>
        <v>0</v>
      </c>
      <c r="G100" s="2299" t="s">
        <v>68</v>
      </c>
    </row>
    <row r="101" spans="1:7" ht="15.75" thickBot="1" x14ac:dyDescent="0.3">
      <c r="A101" s="1777"/>
      <c r="B101" s="1269" t="s">
        <v>1049</v>
      </c>
      <c r="C101" s="1831"/>
      <c r="D101" s="531">
        <f>J19</f>
        <v>0</v>
      </c>
      <c r="E101" s="2297" t="s">
        <v>68</v>
      </c>
      <c r="F101" s="1815"/>
      <c r="G101" s="2299" t="s">
        <v>68</v>
      </c>
    </row>
    <row r="102" spans="1:7" ht="19.5" thickBot="1" x14ac:dyDescent="0.35">
      <c r="A102" s="1865"/>
      <c r="B102" s="1864"/>
      <c r="C102" s="1864" t="s">
        <v>878</v>
      </c>
      <c r="D102" s="1862">
        <f>D77-SUM(D78:D81)-SUM(D84:D87)-D97-SUM(D98:D101)</f>
        <v>0</v>
      </c>
      <c r="E102" s="1863"/>
      <c r="F102" s="1862">
        <f>F77-SUM(F78:F81)-SUM(F84:F87)-F97-SUM(F98:F101)</f>
        <v>0</v>
      </c>
    </row>
  </sheetData>
  <sheetProtection algorithmName="SHA-512" hashValue="6DYNUaKJ2LowAxZzhM4QeQFxxqSdWzaqNxsl7+UEnUvC79Z2z2xXorr99re+Uxg0cA4MHFp8ANKNkOCz1vS1BA==" saltValue="qZiAQS2VhZhS8dgQjlyJRw==" spinCount="100000" sheet="1" objects="1" scenarios="1"/>
  <protectedRanges>
    <protectedRange sqref="J19" name="H12 Alimentatie"/>
  </protectedRanges>
  <mergeCells count="20">
    <mergeCell ref="I3:J3"/>
    <mergeCell ref="C27:D27"/>
    <mergeCell ref="E27:F27"/>
    <mergeCell ref="C42:D42"/>
    <mergeCell ref="E42:F42"/>
    <mergeCell ref="C3:D3"/>
    <mergeCell ref="E3:F3"/>
    <mergeCell ref="C7:D7"/>
    <mergeCell ref="E7:F7"/>
    <mergeCell ref="H24:J24"/>
    <mergeCell ref="H9:J12"/>
    <mergeCell ref="K9:M19"/>
    <mergeCell ref="E89:F89"/>
    <mergeCell ref="C74:D74"/>
    <mergeCell ref="E74:F74"/>
    <mergeCell ref="C64:D64"/>
    <mergeCell ref="E64:F64"/>
    <mergeCell ref="C89:D89"/>
    <mergeCell ref="C83:D83"/>
    <mergeCell ref="E83:F83"/>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21">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4"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46" customWidth="1"/>
    <col min="3" max="3" width="3.85546875" style="3" bestFit="1" customWidth="1"/>
    <col min="4" max="5" width="22.7109375" style="135" customWidth="1"/>
    <col min="6" max="6" width="80.7109375" style="80" customWidth="1"/>
    <col min="7" max="7" width="9.140625" style="14"/>
    <col min="8" max="16384" width="9.140625" style="1"/>
  </cols>
  <sheetData>
    <row r="1" spans="1:7" ht="21.75" thickBot="1" x14ac:dyDescent="0.3">
      <c r="A1" s="1660"/>
      <c r="B1" s="1941" t="s">
        <v>798</v>
      </c>
      <c r="C1" s="1662"/>
      <c r="D1" s="821"/>
      <c r="E1" s="821"/>
      <c r="F1" s="1942"/>
      <c r="G1" s="1937">
        <v>1</v>
      </c>
    </row>
    <row r="2" spans="1:7" s="1933" customFormat="1" ht="15.75" customHeight="1" thickBot="1" x14ac:dyDescent="0.3">
      <c r="A2" s="1938"/>
      <c r="B2" s="1939"/>
      <c r="C2" s="1752"/>
      <c r="D2" s="1191"/>
      <c r="E2" s="1191"/>
      <c r="F2" s="1940"/>
      <c r="G2" s="1932">
        <v>2</v>
      </c>
    </row>
    <row r="3" spans="1:7" s="1933" customFormat="1" ht="15.75" customHeight="1" thickBot="1" x14ac:dyDescent="0.3">
      <c r="A3" s="1737" t="s">
        <v>727</v>
      </c>
      <c r="B3" s="355" t="s">
        <v>205</v>
      </c>
      <c r="C3" s="838" t="s">
        <v>190</v>
      </c>
      <c r="D3" s="836" t="str">
        <f>BGPartner_AP</f>
        <v>A. Plichtig</v>
      </c>
      <c r="E3" s="836" t="str">
        <f>BGPartner_AG</f>
        <v>A. Gerechtigd</v>
      </c>
      <c r="F3" s="1519" t="s">
        <v>189</v>
      </c>
      <c r="G3" s="1936" t="s">
        <v>726</v>
      </c>
    </row>
    <row r="4" spans="1:7" s="1933" customFormat="1" ht="15.75" customHeight="1" thickBot="1" x14ac:dyDescent="0.3">
      <c r="A4" s="1938"/>
      <c r="B4" s="1939"/>
      <c r="C4" s="1752"/>
      <c r="D4" s="1191"/>
      <c r="E4" s="1191"/>
      <c r="F4" s="1940"/>
      <c r="G4" s="1932">
        <v>4</v>
      </c>
    </row>
    <row r="5" spans="1:7" ht="19.5" outlineLevel="1" thickBot="1" x14ac:dyDescent="0.3">
      <c r="A5" s="1635">
        <v>123</v>
      </c>
      <c r="B5" s="1629" t="s">
        <v>41</v>
      </c>
      <c r="C5" s="1636"/>
      <c r="D5" s="1637"/>
      <c r="E5" s="1637"/>
      <c r="F5" s="1751"/>
      <c r="G5" s="1882">
        <v>5</v>
      </c>
    </row>
    <row r="6" spans="1:7" ht="45" outlineLevel="1" x14ac:dyDescent="0.25">
      <c r="A6" s="1286"/>
      <c r="B6" s="1750" t="s">
        <v>822</v>
      </c>
      <c r="C6" s="178" t="s">
        <v>73</v>
      </c>
      <c r="D6" s="812">
        <f>Basisgegevens!C261</f>
        <v>0</v>
      </c>
      <c r="E6" s="812">
        <f>Basisgegevens!D261</f>
        <v>0</v>
      </c>
      <c r="F6" s="1568" t="s">
        <v>212</v>
      </c>
      <c r="G6" s="59">
        <v>6</v>
      </c>
    </row>
    <row r="7" spans="1:7" outlineLevel="1" x14ac:dyDescent="0.25">
      <c r="A7" s="1287" t="s">
        <v>808</v>
      </c>
      <c r="B7" s="88" t="s">
        <v>835</v>
      </c>
      <c r="C7" s="176" t="s">
        <v>73</v>
      </c>
      <c r="D7" s="279">
        <f>IF(AND(BGOEWRekenModule="Ja",Basisgegevens!$E$194=BGPartner_AG),BGOEWWoonvergoeding,0)</f>
        <v>0</v>
      </c>
      <c r="E7" s="279">
        <f>IF(AND(BGOEWRekenModule="Ja",Basisgegevens!$E$194=BGPartner_AP),BGOEWWoonvergoeding,0)</f>
        <v>0</v>
      </c>
      <c r="F7" s="1548" t="s">
        <v>807</v>
      </c>
      <c r="G7" s="58">
        <v>7</v>
      </c>
    </row>
    <row r="8" spans="1:7" ht="15.75" outlineLevel="1" thickBot="1" x14ac:dyDescent="0.3">
      <c r="A8" s="1290"/>
      <c r="B8" s="1181" t="str">
        <f>IF(BGOEWRekenModule="Ja","- OEW: ","- ")&amp;"Hyptheekaflossing / premie levensverzekering"</f>
        <v>- Hyptheekaflossing / premie levensverzekering</v>
      </c>
      <c r="C8" s="183" t="s">
        <v>73</v>
      </c>
      <c r="D8" s="814">
        <f>IF(BGOEWRekenModule="Nee",Basisgegevens!E175+Basisgegevens!F188,IF(AND(BGOEWRekenModule="Ja",BGOEWAflossing=BGPartner_AP),Basisgegevens!C175/2+Basisgegevens!E188,IF(AND(BGOEWRekenModule="Ja",BGOEWAflossing=Keuzelijsten!$R$4),Basisgegevens!F188,0)))</f>
        <v>0</v>
      </c>
      <c r="E8" s="814">
        <f>IF(BGOEWRekenModule="Nee",Basisgegevens!F175+Basisgegevens!E188,IF(AND(BGOEWRekenModule="Ja",BGOEWAflossing=BGPartner_AG),Basisgegevens!C175/2+Basisgegevens!E188,IF(AND(BGOEWRekenModule="Ja",BGOEWAflossing=Keuzelijsten!$R$4),Basisgegevens!E188,0)))</f>
        <v>0</v>
      </c>
      <c r="F8" s="1555" t="s">
        <v>893</v>
      </c>
      <c r="G8" s="152">
        <v>8</v>
      </c>
    </row>
    <row r="9" spans="1:7" outlineLevel="1" x14ac:dyDescent="0.25">
      <c r="A9" s="1353"/>
      <c r="B9" s="1175" t="s">
        <v>823</v>
      </c>
      <c r="C9" s="1176" t="s">
        <v>73</v>
      </c>
      <c r="D9" s="278">
        <f>IF(BG083HypRenteWoning1="Zie OEW",BG083HypRenteWoning2,BG083HypRenteWoning1+BG083HypRenteWoning2)</f>
        <v>0</v>
      </c>
      <c r="E9" s="278">
        <f>IF(BG083HypRente_W1_AG="Zie OEW",BG083HypotheekrenteW2_AG,BG083HypRente_W1_AG+BG083HypotheekrenteW2_AG)</f>
        <v>0</v>
      </c>
      <c r="F9" s="1569" t="s">
        <v>801</v>
      </c>
      <c r="G9" s="24">
        <v>9</v>
      </c>
    </row>
    <row r="10" spans="1:7" outlineLevel="1" x14ac:dyDescent="0.25">
      <c r="A10" s="70" t="str">
        <f>Basisgegevens!L190</f>
        <v>83a</v>
      </c>
      <c r="B10" s="1505" t="str">
        <f>"- OEW: "&amp;Basisgegevens!M190&amp;" (= het eigen 50% aandeel)"</f>
        <v>- OEW: Rente Onverdeeld Eigen Woning Eigen aandeel (= het eigen 50% aandeel)</v>
      </c>
      <c r="C10" s="1177" t="s">
        <v>73</v>
      </c>
      <c r="D10" s="279">
        <f>IF(BGOEWRekenModule="Ja",IF(Basisgegevens!P181="Blijver",BGOEW83aRente_AP/12,0),0)</f>
        <v>0</v>
      </c>
      <c r="E10" s="279">
        <f>IF(BGOEWRekenModule="Ja",IF(Basisgegevens!Q181="Blijver",BGOEW83aRente_AG/12,0),0)</f>
        <v>0</v>
      </c>
      <c r="F10" s="1548" t="s">
        <v>800</v>
      </c>
      <c r="G10" s="58">
        <v>10</v>
      </c>
    </row>
    <row r="11" spans="1:7" ht="15.75" outlineLevel="1" thickBot="1" x14ac:dyDescent="0.3">
      <c r="A11" s="137">
        <f>Basisgegevens!L193</f>
        <v>123</v>
      </c>
      <c r="B11" s="1948" t="str">
        <f>"- OEW: "&amp;Basisgegevens!M193&amp;" (= het 50% aandeel van de blijver)"</f>
        <v>- OEW: Rente Onverdeeld Eigen Woning (= het 50% aandeel van de blijver)</v>
      </c>
      <c r="C11" s="1916" t="s">
        <v>73</v>
      </c>
      <c r="D11" s="814">
        <f>IF(BGOEWRekenModule="Ja",BGOEW123Rente_AP/12,0)</f>
        <v>0</v>
      </c>
      <c r="E11" s="814">
        <f>IF(BGOEWRekenModule="Ja",BGOEW123Rente_AG/12,0)</f>
        <v>0</v>
      </c>
      <c r="F11" s="1555" t="s">
        <v>800</v>
      </c>
      <c r="G11" s="152">
        <v>11</v>
      </c>
    </row>
    <row r="12" spans="1:7" ht="31.5" customHeight="1" outlineLevel="1" thickBot="1" x14ac:dyDescent="0.3">
      <c r="A12" s="2077"/>
      <c r="B12" s="2078" t="s">
        <v>904</v>
      </c>
      <c r="C12" s="1211"/>
      <c r="D12" s="1486" t="s">
        <v>106</v>
      </c>
      <c r="E12" s="1486" t="s">
        <v>106</v>
      </c>
      <c r="F12" s="2065" t="s">
        <v>905</v>
      </c>
      <c r="G12" s="1097">
        <v>12</v>
      </c>
    </row>
    <row r="13" spans="1:7" outlineLevel="1" x14ac:dyDescent="0.25">
      <c r="A13" s="1353">
        <v>84</v>
      </c>
      <c r="B13" s="1175" t="str">
        <f>IF(BGOEWRekenModule="Ja","- OEW: ","- ")&amp;"Periodieke betalingen van erfpacht e.d."</f>
        <v>- Periodieke betalingen van erfpacht e.d.</v>
      </c>
      <c r="C13" s="1176" t="s">
        <v>73</v>
      </c>
      <c r="D13" s="822">
        <f>IF(BGOEWRekenModule="Nee",Basisgegevens!E179+Basisgegevens!F192,IF(AND(BGOEWRekenModule="Ja",BGOEWErfpacht=BGPartner_AP),Basisgegevens!C179++Basisgegevens!F192,IF(AND(BGOEWRekenModule="Ja",BGOEWErfpacht=Keuzelijsten!$R$4),(Basisgegevens!C179/2)+Basisgegevens!F192,0)))</f>
        <v>0</v>
      </c>
      <c r="E13" s="2086">
        <f>IF(BGOEWRekenModule="Nee",Basisgegevens!F179+Basisgegevens!E192,IF(AND(BGOEWRekenModule="Ja",BGOEWErfpacht=BGPartner_AG),Basisgegevens!C179+Basisgegevens!E192,IF(AND(BGOEWRekenModule="Ja",BGOEWErfpacht=Keuzelijsten!$R$4),(Basisgegevens!C179/2)+Basisgegevens!E192,0)))</f>
        <v>0</v>
      </c>
      <c r="F13" s="2089" t="s">
        <v>967</v>
      </c>
      <c r="G13" s="24">
        <v>13</v>
      </c>
    </row>
    <row r="14" spans="1:7" outlineLevel="1" x14ac:dyDescent="0.25">
      <c r="A14" s="70"/>
      <c r="B14" s="88" t="s">
        <v>950</v>
      </c>
      <c r="C14" s="1177" t="s">
        <v>73</v>
      </c>
      <c r="D14" s="2090">
        <v>0</v>
      </c>
      <c r="E14" s="2087">
        <v>0</v>
      </c>
      <c r="F14" s="1521" t="s">
        <v>967</v>
      </c>
      <c r="G14" s="58">
        <v>14</v>
      </c>
    </row>
    <row r="15" spans="1:7" outlineLevel="1" x14ac:dyDescent="0.25">
      <c r="A15" s="70"/>
      <c r="B15" s="88" t="s">
        <v>952</v>
      </c>
      <c r="C15" s="1177" t="s">
        <v>73</v>
      </c>
      <c r="D15" s="2090">
        <v>0</v>
      </c>
      <c r="E15" s="2087">
        <v>0</v>
      </c>
      <c r="F15" s="1521" t="s">
        <v>951</v>
      </c>
      <c r="G15" s="58">
        <v>15</v>
      </c>
    </row>
    <row r="16" spans="1:7" outlineLevel="1" x14ac:dyDescent="0.25">
      <c r="A16" s="70"/>
      <c r="B16" s="88" t="s">
        <v>962</v>
      </c>
      <c r="C16" s="1177" t="s">
        <v>73</v>
      </c>
      <c r="D16" s="2090">
        <v>0</v>
      </c>
      <c r="E16" s="2087">
        <v>0</v>
      </c>
      <c r="F16" s="1521" t="s">
        <v>951</v>
      </c>
      <c r="G16" s="58">
        <v>16</v>
      </c>
    </row>
    <row r="17" spans="1:7" outlineLevel="1" x14ac:dyDescent="0.25">
      <c r="A17" s="137"/>
      <c r="B17" s="1181" t="s">
        <v>953</v>
      </c>
      <c r="C17" s="1177" t="s">
        <v>73</v>
      </c>
      <c r="D17" s="2090">
        <v>0</v>
      </c>
      <c r="E17" s="2087">
        <v>0</v>
      </c>
      <c r="F17" s="1521" t="s">
        <v>963</v>
      </c>
      <c r="G17" s="152">
        <v>17</v>
      </c>
    </row>
    <row r="18" spans="1:7" ht="15.75" outlineLevel="1" thickBot="1" x14ac:dyDescent="0.3">
      <c r="A18" s="71"/>
      <c r="B18" s="918" t="s">
        <v>964</v>
      </c>
      <c r="C18" s="1235" t="s">
        <v>73</v>
      </c>
      <c r="D18" s="313">
        <v>0</v>
      </c>
      <c r="E18" s="2088">
        <v>0</v>
      </c>
      <c r="F18" s="1524" t="s">
        <v>965</v>
      </c>
      <c r="G18" s="26">
        <v>18</v>
      </c>
    </row>
    <row r="19" spans="1:7" outlineLevel="1" x14ac:dyDescent="0.25">
      <c r="A19" s="1286" t="s">
        <v>829</v>
      </c>
      <c r="B19" s="1135" t="s">
        <v>56</v>
      </c>
      <c r="C19" s="178" t="s">
        <v>68</v>
      </c>
      <c r="D19" s="812">
        <f>Basisgegevens!C263</f>
        <v>0</v>
      </c>
      <c r="E19" s="812">
        <f>Basisgegevens!D263</f>
        <v>0</v>
      </c>
      <c r="F19" s="1568" t="s">
        <v>213</v>
      </c>
      <c r="G19" s="59">
        <v>19</v>
      </c>
    </row>
    <row r="20" spans="1:7" ht="15.75" outlineLevel="1" thickBot="1" x14ac:dyDescent="0.3">
      <c r="A20" s="1290" t="s">
        <v>829</v>
      </c>
      <c r="B20" s="1181" t="s">
        <v>897</v>
      </c>
      <c r="C20" s="183" t="s">
        <v>68</v>
      </c>
      <c r="D20" s="814">
        <f>IF(D12="Ja",0,'Alimentatie 2025-01'!E140+IF(BGOEWRekenModule="Ja",D11*BGBelastingTariefSchijf2,0))</f>
        <v>0</v>
      </c>
      <c r="E20" s="814">
        <f>IF(E12="Ja",0,'Alimentatie 2025-01'!H140+IF(BGOEWRekenModule="Ja",E11*BGBelastingTariefSchijf2,0))</f>
        <v>0</v>
      </c>
      <c r="F20" s="1555" t="s">
        <v>945</v>
      </c>
      <c r="G20" s="152">
        <v>20</v>
      </c>
    </row>
    <row r="21" spans="1:7" ht="15.75" outlineLevel="1" thickBot="1" x14ac:dyDescent="0.3">
      <c r="A21" s="1746"/>
      <c r="B21" s="1747" t="s">
        <v>828</v>
      </c>
      <c r="C21" s="1566"/>
      <c r="D21" s="1473">
        <f>SUM(D6:D18)-SUM(D19:D20)</f>
        <v>0</v>
      </c>
      <c r="E21" s="1473">
        <f>SUM(E6:E18)-SUM(E19:E20)</f>
        <v>0</v>
      </c>
      <c r="F21" s="1748"/>
      <c r="G21" s="1755">
        <v>21</v>
      </c>
    </row>
    <row r="22" spans="1:7" ht="15.75" outlineLevel="1" thickBot="1" x14ac:dyDescent="0.3">
      <c r="A22" s="1604"/>
      <c r="B22" s="2051"/>
      <c r="C22" s="1615"/>
      <c r="D22" s="1659"/>
      <c r="E22" s="1659"/>
      <c r="F22" s="2052"/>
      <c r="G22" s="1895">
        <v>22</v>
      </c>
    </row>
    <row r="23" spans="1:7" ht="30.75" outlineLevel="1" thickBot="1" x14ac:dyDescent="0.3">
      <c r="A23" s="1334" t="s">
        <v>829</v>
      </c>
      <c r="B23" s="1949" t="s">
        <v>844</v>
      </c>
      <c r="C23" s="1681" t="s">
        <v>68</v>
      </c>
      <c r="D23" s="2084">
        <v>0</v>
      </c>
      <c r="E23" s="844">
        <v>0</v>
      </c>
      <c r="F23" s="2085" t="s">
        <v>751</v>
      </c>
      <c r="G23" s="147">
        <v>23</v>
      </c>
    </row>
    <row r="24" spans="1:7" ht="15.75" thickBot="1" x14ac:dyDescent="0.3">
      <c r="A24" s="1984">
        <v>123</v>
      </c>
      <c r="B24" s="2056" t="s">
        <v>58</v>
      </c>
      <c r="C24" s="1901"/>
      <c r="D24" s="1143">
        <f>D21-D23</f>
        <v>0</v>
      </c>
      <c r="E24" s="811">
        <f>E21-E23</f>
        <v>0</v>
      </c>
      <c r="F24" s="1759"/>
      <c r="G24" s="538">
        <v>24</v>
      </c>
    </row>
    <row r="25" spans="1:7" ht="15.75" outlineLevel="1" thickBot="1" x14ac:dyDescent="0.3">
      <c r="B25" s="303"/>
      <c r="C25" s="1752"/>
      <c r="G25" s="59">
        <v>25</v>
      </c>
    </row>
    <row r="26" spans="1:7" ht="15.75" outlineLevel="1" thickBot="1" x14ac:dyDescent="0.3">
      <c r="B26" s="1753" t="s">
        <v>368</v>
      </c>
      <c r="D26" s="1749" t="str">
        <f>BGPartner_AP</f>
        <v>A. Plichtig</v>
      </c>
      <c r="E26" s="1749" t="str">
        <f>BGPartner_AG</f>
        <v>A. Gerechtigd</v>
      </c>
      <c r="G26" s="26">
        <v>26</v>
      </c>
    </row>
    <row r="27" spans="1:7" outlineLevel="1" x14ac:dyDescent="0.25">
      <c r="A27" s="1353"/>
      <c r="B27" s="1475" t="s">
        <v>367</v>
      </c>
      <c r="C27" s="187"/>
      <c r="D27" s="278">
        <f>'Alimentatie 2025-01'!E247</f>
        <v>0</v>
      </c>
      <c r="E27" s="278">
        <f>'Alimentatie 2025-01'!H247</f>
        <v>0</v>
      </c>
      <c r="F27" s="1754"/>
      <c r="G27" s="24">
        <v>27</v>
      </c>
    </row>
    <row r="28" spans="1:7" outlineLevel="1" x14ac:dyDescent="0.25">
      <c r="A28" s="70"/>
      <c r="B28" s="292" t="s">
        <v>365</v>
      </c>
      <c r="C28" s="184"/>
      <c r="D28" s="279">
        <f>IF(Basisgegevens!F202*Basisgegevens!O15&gt;0,(Basisgegevens!F202*Basisgegevens!O15)+D6-D19+SUM(D9:D15)+'Alimentatie 2025-01'!D140,D6-D19+SUM(D9:D15)+'Alimentatie 2025-01'!D140)</f>
        <v>0</v>
      </c>
      <c r="E28" s="279">
        <f>IF(Basisgegevens!E201&gt;0,(Basisgegevens!E201*Basisgegevens!O15)+(E6-E19)+SUM(E9:E15)+'Alimentatie 2025-01'!G140,(E6-E19)+SUM(E9:E15)+'Alimentatie 2025-01'!G140)</f>
        <v>0</v>
      </c>
      <c r="F28" s="349"/>
      <c r="G28" s="58">
        <v>28</v>
      </c>
    </row>
    <row r="29" spans="1:7" outlineLevel="1" x14ac:dyDescent="0.25">
      <c r="A29" s="70"/>
      <c r="B29" s="292" t="s">
        <v>366</v>
      </c>
      <c r="C29" s="184"/>
      <c r="D29" s="279">
        <f>D27/3</f>
        <v>0</v>
      </c>
      <c r="E29" s="279">
        <f>E27/3</f>
        <v>0</v>
      </c>
      <c r="F29" s="349"/>
      <c r="G29" s="58">
        <v>29</v>
      </c>
    </row>
    <row r="30" spans="1:7" ht="15.75" outlineLevel="1" thickBot="1" x14ac:dyDescent="0.3">
      <c r="A30" s="71"/>
      <c r="B30" s="1476" t="s">
        <v>369</v>
      </c>
      <c r="C30" s="1477"/>
      <c r="D30" s="281">
        <f>D29-D28</f>
        <v>0</v>
      </c>
      <c r="E30" s="281">
        <f>E29-E28</f>
        <v>0</v>
      </c>
      <c r="F30" s="352"/>
      <c r="G30" s="26">
        <v>30</v>
      </c>
    </row>
    <row r="31" spans="1:7" ht="30.75" outlineLevel="1" thickBot="1" x14ac:dyDescent="0.3">
      <c r="A31" s="2055"/>
      <c r="B31" s="1161" t="s">
        <v>370</v>
      </c>
      <c r="C31" s="373"/>
      <c r="D31" s="1474" t="str">
        <f>IF(D30&lt;0.01,CONCATENATE("Woonlast is € ",ROUND(D30*-1,0)," te hoog, Onredelijk?"),CONCATENATE("Woonlast is €",ROUND(D30,0)," onder max."))</f>
        <v>Woonlast is € 0 te hoog, Onredelijk?</v>
      </c>
      <c r="E31" s="1506" t="str">
        <f>IF(E30&lt;0.01,"Woonlast is € "&amp;ROUND(E30*-1,0)&amp;" te hoog, Onredelijk?","Woonlast is €"&amp;ROUND(E30,0)&amp;" onder max.")</f>
        <v>Woonlast is € 0 te hoog, Onredelijk?</v>
      </c>
      <c r="F31" s="1581" t="s">
        <v>830</v>
      </c>
      <c r="G31" s="1756">
        <v>31</v>
      </c>
    </row>
    <row r="32" spans="1:7" ht="15.75" thickBot="1" x14ac:dyDescent="0.3">
      <c r="B32" s="303"/>
      <c r="C32" s="947"/>
      <c r="D32" s="2053" t="s">
        <v>673</v>
      </c>
      <c r="E32" s="2053"/>
      <c r="F32" s="2054"/>
      <c r="G32" s="1738">
        <v>32</v>
      </c>
    </row>
    <row r="33" spans="1:7" s="90" customFormat="1" ht="19.5" thickBot="1" x14ac:dyDescent="0.3">
      <c r="A33" s="1765"/>
      <c r="B33" s="1766" t="s">
        <v>861</v>
      </c>
      <c r="C33" s="1767"/>
      <c r="D33" s="1768"/>
      <c r="E33" s="1768"/>
      <c r="F33" s="1766"/>
      <c r="G33" s="1769">
        <v>33</v>
      </c>
    </row>
    <row r="34" spans="1:7" ht="30" outlineLevel="1" x14ac:dyDescent="0.25">
      <c r="A34" s="81">
        <v>125</v>
      </c>
      <c r="B34" s="75" t="s">
        <v>846</v>
      </c>
      <c r="C34" s="1470" t="s">
        <v>73</v>
      </c>
      <c r="D34" s="812">
        <v>0</v>
      </c>
      <c r="E34" s="812">
        <v>0</v>
      </c>
      <c r="F34" s="1763" t="s">
        <v>847</v>
      </c>
      <c r="G34" s="59">
        <v>34</v>
      </c>
    </row>
    <row r="35" spans="1:7" outlineLevel="1" x14ac:dyDescent="0.25">
      <c r="A35" s="70">
        <v>125</v>
      </c>
      <c r="B35" s="1514" t="s">
        <v>416</v>
      </c>
      <c r="C35" s="1177"/>
      <c r="D35" s="280">
        <v>0</v>
      </c>
      <c r="E35" s="280">
        <v>0</v>
      </c>
      <c r="F35" s="1079"/>
      <c r="G35" s="58">
        <v>35</v>
      </c>
    </row>
    <row r="36" spans="1:7" ht="30" outlineLevel="1" x14ac:dyDescent="0.25">
      <c r="A36" s="70">
        <v>126</v>
      </c>
      <c r="B36" s="1514" t="s">
        <v>43</v>
      </c>
      <c r="C36" s="1177" t="s">
        <v>73</v>
      </c>
      <c r="D36" s="280">
        <v>0</v>
      </c>
      <c r="E36" s="280">
        <v>0</v>
      </c>
      <c r="F36" s="1079" t="s">
        <v>214</v>
      </c>
      <c r="G36" s="58">
        <v>36</v>
      </c>
    </row>
    <row r="37" spans="1:7" outlineLevel="1" x14ac:dyDescent="0.25">
      <c r="A37" s="1572">
        <v>127</v>
      </c>
      <c r="B37" s="1579" t="s">
        <v>44</v>
      </c>
      <c r="C37" s="1177" t="s">
        <v>73</v>
      </c>
      <c r="D37" s="818">
        <v>0</v>
      </c>
      <c r="E37" s="818">
        <v>0</v>
      </c>
      <c r="F37" s="1131" t="s">
        <v>204</v>
      </c>
      <c r="G37" s="1757">
        <v>37</v>
      </c>
    </row>
    <row r="38" spans="1:7" outlineLevel="1" x14ac:dyDescent="0.25">
      <c r="A38" s="70">
        <v>128</v>
      </c>
      <c r="B38" s="1514" t="s">
        <v>45</v>
      </c>
      <c r="C38" s="1177" t="s">
        <v>73</v>
      </c>
      <c r="D38" s="280">
        <v>0</v>
      </c>
      <c r="E38" s="280">
        <v>0</v>
      </c>
      <c r="F38" s="1577" t="s">
        <v>218</v>
      </c>
      <c r="G38" s="58">
        <v>38</v>
      </c>
    </row>
    <row r="39" spans="1:7" ht="30" outlineLevel="1" x14ac:dyDescent="0.25">
      <c r="A39" s="70">
        <v>129</v>
      </c>
      <c r="B39" s="1514" t="s">
        <v>46</v>
      </c>
      <c r="C39" s="1177" t="s">
        <v>73</v>
      </c>
      <c r="D39" s="280">
        <v>0</v>
      </c>
      <c r="E39" s="280">
        <v>0</v>
      </c>
      <c r="F39" s="1079" t="s">
        <v>215</v>
      </c>
      <c r="G39" s="58">
        <v>39</v>
      </c>
    </row>
    <row r="40" spans="1:7" ht="30" outlineLevel="1" x14ac:dyDescent="0.25">
      <c r="A40" s="70">
        <v>130</v>
      </c>
      <c r="B40" s="1514" t="s">
        <v>47</v>
      </c>
      <c r="C40" s="1177" t="s">
        <v>73</v>
      </c>
      <c r="D40" s="280">
        <v>0</v>
      </c>
      <c r="E40" s="280">
        <v>0</v>
      </c>
      <c r="F40" s="1079" t="s">
        <v>892</v>
      </c>
      <c r="G40" s="58">
        <v>40</v>
      </c>
    </row>
    <row r="41" spans="1:7" ht="30" outlineLevel="1" x14ac:dyDescent="0.25">
      <c r="A41" s="1573">
        <v>131</v>
      </c>
      <c r="B41" s="1579" t="s">
        <v>802</v>
      </c>
      <c r="C41" s="1576" t="s">
        <v>73</v>
      </c>
      <c r="D41" s="1164">
        <v>0</v>
      </c>
      <c r="E41" s="1164">
        <v>0</v>
      </c>
      <c r="F41" s="1131" t="s">
        <v>602</v>
      </c>
      <c r="G41" s="1758">
        <v>41</v>
      </c>
    </row>
    <row r="42" spans="1:7" ht="45" outlineLevel="1" x14ac:dyDescent="0.25">
      <c r="A42" s="70">
        <v>132</v>
      </c>
      <c r="B42" s="1514" t="s">
        <v>48</v>
      </c>
      <c r="C42" s="1177" t="s">
        <v>73</v>
      </c>
      <c r="D42" s="280">
        <v>0</v>
      </c>
      <c r="E42" s="280">
        <v>0</v>
      </c>
      <c r="F42" s="1079" t="s">
        <v>216</v>
      </c>
      <c r="G42" s="58">
        <v>42</v>
      </c>
    </row>
    <row r="43" spans="1:7" ht="75.75" outlineLevel="1" thickBot="1" x14ac:dyDescent="0.3">
      <c r="A43" s="70">
        <v>133</v>
      </c>
      <c r="B43" s="1514" t="s">
        <v>49</v>
      </c>
      <c r="C43" s="1177" t="s">
        <v>73</v>
      </c>
      <c r="D43" s="280">
        <v>0</v>
      </c>
      <c r="E43" s="280">
        <v>0</v>
      </c>
      <c r="F43" s="1079" t="s">
        <v>217</v>
      </c>
      <c r="G43" s="58">
        <v>43</v>
      </c>
    </row>
    <row r="44" spans="1:7" ht="15.75" outlineLevel="1" thickBot="1" x14ac:dyDescent="0.3">
      <c r="A44" s="1770"/>
      <c r="B44" s="1760" t="s">
        <v>862</v>
      </c>
      <c r="C44" s="1761"/>
      <c r="D44" s="1575">
        <f>SUM(D34:D43)</f>
        <v>0</v>
      </c>
      <c r="E44" s="1575">
        <f>SUM(E34:E43)</f>
        <v>0</v>
      </c>
      <c r="F44" s="1762"/>
      <c r="G44" s="1565">
        <v>44</v>
      </c>
    </row>
    <row r="45" spans="1:7" ht="15.75" outlineLevel="1" thickBot="1" x14ac:dyDescent="0.3">
      <c r="A45" s="1647"/>
      <c r="B45" s="1774"/>
      <c r="C45" s="1775"/>
      <c r="D45" s="1649"/>
      <c r="E45" s="1649"/>
      <c r="F45" s="1776"/>
      <c r="G45" s="1738">
        <v>45</v>
      </c>
    </row>
    <row r="46" spans="1:7" ht="16.5" thickBot="1" x14ac:dyDescent="0.3">
      <c r="A46" s="1570"/>
      <c r="B46" s="1771" t="s">
        <v>845</v>
      </c>
      <c r="C46" s="1772" t="s">
        <v>68</v>
      </c>
      <c r="D46" s="1571">
        <f>D24+D44</f>
        <v>0</v>
      </c>
      <c r="E46" s="1571">
        <f>E24+E44</f>
        <v>0</v>
      </c>
      <c r="F46" s="1773"/>
      <c r="G46" s="538">
        <v>46</v>
      </c>
    </row>
  </sheetData>
  <sheetProtection algorithmName="SHA-512" hashValue="WFWKYKUmudY5+6RJr0TRxNqzPYDVcWk7LeZKOkax38Kbdbd2AVlrQrioxpE4SrZ7nKYktj/ygdM3RNeA3HNmtg==" saltValue="8Rxh+kEC4sJ63s5KwbMd1g=="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40D2-729C-46FA-8B05-DE8F388AE8A0}">
  <sheetPr>
    <tabColor theme="3" tint="0.59999389629810485"/>
  </sheetPr>
  <dimension ref="A1:Q47"/>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2" max="2" width="50.28515625" customWidth="1"/>
    <col min="3" max="7" width="22.7109375" customWidth="1"/>
    <col min="8" max="8" width="2" bestFit="1" customWidth="1"/>
    <col min="9" max="11" width="22.7109375" customWidth="1"/>
    <col min="12" max="12" width="3.7109375" customWidth="1"/>
    <col min="13" max="13" width="24.5703125" customWidth="1"/>
    <col min="14" max="15" width="20.7109375" customWidth="1"/>
  </cols>
  <sheetData>
    <row r="1" spans="1:16" ht="21.75" thickBot="1" x14ac:dyDescent="0.4">
      <c r="A1" s="1943"/>
      <c r="B1" s="2579" t="s">
        <v>1152</v>
      </c>
      <c r="C1" s="2580"/>
      <c r="D1" s="2581"/>
      <c r="E1" s="2580"/>
      <c r="F1" s="2579"/>
      <c r="G1" s="2580"/>
      <c r="H1" s="2581"/>
      <c r="I1" s="2580"/>
      <c r="J1" s="2580"/>
      <c r="K1" s="2582"/>
    </row>
    <row r="2" spans="1:16" ht="15.75" thickBot="1" x14ac:dyDescent="0.3"/>
    <row r="3" spans="1:16" ht="15.75" thickBot="1" x14ac:dyDescent="0.3">
      <c r="E3" s="1340" t="s">
        <v>1111</v>
      </c>
      <c r="F3" s="1341"/>
      <c r="G3" s="119" t="s">
        <v>1144</v>
      </c>
      <c r="I3" s="1340" t="s">
        <v>1137</v>
      </c>
      <c r="J3" s="1341"/>
      <c r="K3" s="2547"/>
    </row>
    <row r="4" spans="1:16" ht="15.75" thickBot="1" x14ac:dyDescent="0.3">
      <c r="B4" s="4" t="s">
        <v>1091</v>
      </c>
    </row>
    <row r="5" spans="1:16" ht="15.75" thickBot="1" x14ac:dyDescent="0.3">
      <c r="A5" s="14"/>
      <c r="B5" s="92"/>
      <c r="C5" s="2896" t="s">
        <v>590</v>
      </c>
      <c r="D5" s="3162"/>
      <c r="E5" s="2362" t="s">
        <v>1088</v>
      </c>
      <c r="F5" s="2362"/>
      <c r="M5" s="1846" t="str">
        <f>Basisgegevens!B235</f>
        <v>Maximaal bedrag kindgebonden budget</v>
      </c>
    </row>
    <row r="6" spans="1:16" ht="15.75" thickBot="1" x14ac:dyDescent="0.3">
      <c r="A6" s="39" t="s">
        <v>258</v>
      </c>
      <c r="B6" s="2350" t="s">
        <v>542</v>
      </c>
      <c r="C6" s="50" t="str">
        <f>BGPartner_AP</f>
        <v>A. Plichtig</v>
      </c>
      <c r="D6" s="2360" t="str">
        <f>BGPartner_AG</f>
        <v>A. Gerechtigd</v>
      </c>
      <c r="E6" s="18" t="str">
        <f>BGPartner_AP</f>
        <v>A. Plichtig</v>
      </c>
      <c r="F6" s="18" t="str">
        <f>BGPartner_AG</f>
        <v>A. Gerechtigd</v>
      </c>
      <c r="G6" s="119" t="s">
        <v>1098</v>
      </c>
      <c r="M6" s="908" t="str" cm="1">
        <f t="array" ref="M6:O9">Basisgegevens!B236:D239</f>
        <v>Aantal kinderen</v>
      </c>
      <c r="N6" s="227" t="str">
        <v>Alleenstaande ouder</v>
      </c>
      <c r="O6" s="227" t="str">
        <v>Met toeslagpartner</v>
      </c>
    </row>
    <row r="7" spans="1:16" x14ac:dyDescent="0.25">
      <c r="A7" s="1985">
        <v>1</v>
      </c>
      <c r="B7" s="2363" t="str">
        <f>Basisgegevens!B310</f>
        <v>--</v>
      </c>
      <c r="C7" s="1246" t="str">
        <f>IF(Basisgegevens!C310=1,Basisgegevens!$E327,"--")</f>
        <v>--</v>
      </c>
      <c r="D7" s="2364" t="str">
        <f>IF(Basisgegevens!D310=1,Basisgegevens!$E327,"--")</f>
        <v>--</v>
      </c>
      <c r="E7" s="2609">
        <f>IF(C7="--",0,IF(COUNTIF(C$7:C7,"&gt;0")=1,IF(C$25&gt;1,Basisgegevens!$C$238,Basisgegevens!$C$237),IF(COUNTIF(C$7:C7,"&gt;0")&gt;2,Basisgegevens!$C$239,IF(D$25&gt;1,"Zie 1e kind",0))))</f>
        <v>0</v>
      </c>
      <c r="F7" s="2610">
        <f>IF(D7="--",0,IF(COUNTIF(D$7:D7,"&gt;0")=1,IF(D$25&gt;1,Basisgegevens!$C$238,Basisgegevens!$C$237),IF(COUNTIF(D$7:D7,"&gt;0")&gt;2,Basisgegevens!$C$239,IF(D$25&gt;1,"Zie 1e kind",0))))</f>
        <v>0</v>
      </c>
      <c r="G7" s="2611">
        <f>IF(C7&amp;D7="----",0,IF(COUNTIF(C$7:D7,"&gt;0")=1,IF(C$25+D$25&gt;1,Basisgegevens!$D$238,Basisgegevens!$D$237),IF(COUNTIF(C$7:D7,"&gt;0")&gt;2,Basisgegevens!$D$239,IF(C$25+D$25&gt;1,"Zie 1e kind",0))))</f>
        <v>0</v>
      </c>
      <c r="M7" s="2593" t="str">
        <v>1 kind</v>
      </c>
      <c r="N7" s="2594">
        <v>5900</v>
      </c>
      <c r="O7" s="2594">
        <v>2511</v>
      </c>
    </row>
    <row r="8" spans="1:16" x14ac:dyDescent="0.25">
      <c r="A8" s="1961">
        <v>2</v>
      </c>
      <c r="B8" s="2351" t="str">
        <f>Basisgegevens!B311</f>
        <v>--</v>
      </c>
      <c r="C8" s="413" t="str">
        <f>IF(Basisgegevens!C311=1,Basisgegevens!$E328,"--")</f>
        <v>--</v>
      </c>
      <c r="D8" s="2352" t="str">
        <f>IF(Basisgegevens!D311=1,Basisgegevens!$E328,"--")</f>
        <v>--</v>
      </c>
      <c r="E8" s="2604">
        <f>IF(C8="--",0,IF(COUNTIF(C$7:C8,"&gt;0")=1,IF(C$25&gt;1,Basisgegevens!$C$238,Basisgegevens!$C$237),IF(COUNTIF(C$7:C8,"&gt;0")&gt;2,Basisgegevens!$C$239,IF(D$25&gt;1,"Zie 1e kind",0))))</f>
        <v>0</v>
      </c>
      <c r="F8" s="2603">
        <f>IF(D8="--",0,IF(COUNTIF(D$7:D8,"&gt;0")=1,IF(D$25&gt;1,Basisgegevens!$C$238,Basisgegevens!$C$237),IF(COUNTIF(D$7:D8,"&gt;0")&gt;2,Basisgegevens!$C$239,IF(D$25&gt;1,"Zie 1e kind",0))))</f>
        <v>0</v>
      </c>
      <c r="G8" s="2612">
        <f>IF(C8&amp;D8="----",0,IF(COUNTIF(C$7:D8,"&gt;0")=1,IF(C$25+D$25&gt;1,Basisgegevens!$D$238,Basisgegevens!$D$237),IF(COUNTIF(C$7:D8,"&gt;0")&gt;2,Basisgegevens!$D$239,IF(C$25+D$25&gt;1,"Zie 1e kind",0))))</f>
        <v>0</v>
      </c>
      <c r="M8" s="755" t="str">
        <v>2 kinderen</v>
      </c>
      <c r="N8" s="2595">
        <v>8411</v>
      </c>
      <c r="O8" s="2595">
        <v>5022</v>
      </c>
      <c r="P8" s="433" t="s">
        <v>1156</v>
      </c>
    </row>
    <row r="9" spans="1:16" ht="15.75" thickBot="1" x14ac:dyDescent="0.3">
      <c r="A9" s="1961">
        <v>3</v>
      </c>
      <c r="B9" s="2351" t="str">
        <f>Basisgegevens!B312</f>
        <v>--</v>
      </c>
      <c r="C9" s="413" t="str">
        <f>IF(Basisgegevens!C312=1,Basisgegevens!$E329,"--")</f>
        <v>--</v>
      </c>
      <c r="D9" s="2352" t="str">
        <f>IF(Basisgegevens!D312=1,Basisgegevens!$E329,"--")</f>
        <v>--</v>
      </c>
      <c r="E9" s="2604">
        <f>IF(C9="--",0,IF(COUNTIF(C$7:C9,"&gt;0")=1,IF(C$25&gt;1,Basisgegevens!$C$238,Basisgegevens!$C$237),IF(COUNTIF(C$7:C9,"&gt;0")&gt;2,Basisgegevens!$C$239,IF(D$25&gt;1,"Zie 1e kind",0))))</f>
        <v>0</v>
      </c>
      <c r="F9" s="2603">
        <f>IF(D9="--",0,IF(COUNTIF(D$7:D9,"&gt;0")=1,IF(D$25&gt;1,Basisgegevens!$C$238,Basisgegevens!$C$237),IF(COUNTIF(D$7:D9,"&gt;0")&gt;2,Basisgegevens!$C$239,IF(D$25&gt;1,"Zie 1e kind",0))))</f>
        <v>0</v>
      </c>
      <c r="G9" s="2612">
        <f>IF(C9&amp;D9="----",0,IF(COUNTIF(C$7:D9,"&gt;0")=1,IF(C$25+D$25&gt;1,Basisgegevens!$D$238,Basisgegevens!$D$237),IF(COUNTIF(C$7:D9,"&gt;0")&gt;2,Basisgegevens!$D$239,IF(C$25+D$25&gt;1,"Zie 1e kind",0))))</f>
        <v>0</v>
      </c>
      <c r="M9" s="757" t="str">
        <v>Verhoging vanaf 3e kind</v>
      </c>
      <c r="N9" s="2596">
        <v>2511</v>
      </c>
      <c r="O9" s="2596">
        <v>2511</v>
      </c>
    </row>
    <row r="10" spans="1:16" x14ac:dyDescent="0.25">
      <c r="A10" s="1961">
        <v>4</v>
      </c>
      <c r="B10" s="2351" t="str">
        <f>Basisgegevens!B313</f>
        <v>--</v>
      </c>
      <c r="C10" s="413" t="str">
        <f>IF(Basisgegevens!C313=1,Basisgegevens!$E330,"--")</f>
        <v>--</v>
      </c>
      <c r="D10" s="2352" t="str">
        <f>IF(Basisgegevens!D313=1,Basisgegevens!$E330,"--")</f>
        <v>--</v>
      </c>
      <c r="E10" s="2604">
        <f>IF(C10="--",0,IF(COUNTIF(C$7:C10,"&gt;0")=1,IF(C$25&gt;1,Basisgegevens!$C$238,Basisgegevens!$C$237),IF(COUNTIF(C$7:C10,"&gt;0")&gt;2,Basisgegevens!$C$239,IF(D$25&gt;1,"Zie 1e kind",0))))</f>
        <v>0</v>
      </c>
      <c r="F10" s="2603">
        <f>IF(D10="--",0,IF(COUNTIF(D$7:D10,"&gt;0")=1,IF(D$25&gt;1,Basisgegevens!$C$238,Basisgegevens!$C$237),IF(COUNTIF(D$7:D10,"&gt;0")&gt;2,Basisgegevens!$C$239,IF(D$25&gt;1,"Zie 1e kind",0))))</f>
        <v>0</v>
      </c>
      <c r="G10" s="2612">
        <f>IF(C10&amp;D10="----",0,IF(COUNTIF(C$7:D10,"&gt;0")=1,IF(C$25+D$25&gt;1,Basisgegevens!$D$238,Basisgegevens!$D$237),IF(COUNTIF(C$7:D10,"&gt;0")&gt;2,Basisgegevens!$D$239,IF(C$25+D$25&gt;1,"Zie 1e kind",0))))</f>
        <v>0</v>
      </c>
    </row>
    <row r="11" spans="1:16" x14ac:dyDescent="0.25">
      <c r="A11" s="1961">
        <v>5</v>
      </c>
      <c r="B11" s="2351" t="str">
        <f>Basisgegevens!B314</f>
        <v>--</v>
      </c>
      <c r="C11" s="413" t="str">
        <f>IF(Basisgegevens!C314=1,Basisgegevens!$E331,"--")</f>
        <v>--</v>
      </c>
      <c r="D11" s="2352" t="str">
        <f>IF(Basisgegevens!D314=1,Basisgegevens!$E331,"--")</f>
        <v>--</v>
      </c>
      <c r="E11" s="2604">
        <f>IF(C11="--",0,IF(COUNTIF(C$7:C11,"&gt;0")=1,IF(C$25&gt;1,Basisgegevens!$C$238,Basisgegevens!$C$237),IF(COUNTIF(C$7:C11,"&gt;0")&gt;2,Basisgegevens!$C$239,IF(D$25&gt;1,"Zie 1e kind",0))))</f>
        <v>0</v>
      </c>
      <c r="F11" s="2603">
        <f>IF(D11="--",0,IF(COUNTIF(D$7:D11,"&gt;0")=1,IF(D$25&gt;1,Basisgegevens!$C$238,Basisgegevens!$C$237),IF(COUNTIF(D$7:D11,"&gt;0")&gt;2,Basisgegevens!$C$239,IF(D$25&gt;1,"Zie 1e kind",0))))</f>
        <v>0</v>
      </c>
      <c r="G11" s="2612">
        <f>IF(C11&amp;D11="----",0,IF(COUNTIF(C$7:D11,"&gt;0")=1,IF(C$25+D$25&gt;1,Basisgegevens!$D$238,Basisgegevens!$D$237),IF(COUNTIF(C$7:D11,"&gt;0")&gt;2,Basisgegevens!$D$239,IF(C$25+D$25&gt;1,"Zie 1e kind",0))))</f>
        <v>0</v>
      </c>
    </row>
    <row r="12" spans="1:16" x14ac:dyDescent="0.25">
      <c r="A12" s="1961">
        <v>6</v>
      </c>
      <c r="B12" s="2351" t="str">
        <f>Basisgegevens!B315</f>
        <v>--</v>
      </c>
      <c r="C12" s="413" t="str">
        <f>IF(Basisgegevens!C315=1,Basisgegevens!$E332,"--")</f>
        <v>--</v>
      </c>
      <c r="D12" s="2352" t="str">
        <f>IF(Basisgegevens!D315=1,Basisgegevens!$E332,"--")</f>
        <v>--</v>
      </c>
      <c r="E12" s="2604">
        <f>IF(C12="--",0,IF(COUNTIF(C$7:C12,"&gt;0")=1,IF(C$25&gt;1,Basisgegevens!$C$238,Basisgegevens!$C$237),IF(COUNTIF(C$7:C12,"&gt;0")&gt;2,Basisgegevens!$C$239,IF(D$25&gt;1,"Zie 1e kind",0))))</f>
        <v>0</v>
      </c>
      <c r="F12" s="2603">
        <f>IF(D12="--",0,IF(COUNTIF(D$7:D12,"&gt;0")=1,IF(D$25&gt;1,Basisgegevens!$C$238,Basisgegevens!$C$237),IF(COUNTIF(D$7:D12,"&gt;0")&gt;2,Basisgegevens!$C$239,IF(D$25&gt;1,"Zie 1e kind",0))))</f>
        <v>0</v>
      </c>
      <c r="G12" s="2612">
        <f>IF(C12&amp;D12="----",0,IF(COUNTIF(C$7:D12,"&gt;0")=1,IF(C$25+D$25&gt;1,Basisgegevens!$D$238,Basisgegevens!$D$237),IF(COUNTIF(C$7:D12,"&gt;0")&gt;2,Basisgegevens!$D$239,IF(C$25+D$25&gt;1,"Zie 1e kind",0))))</f>
        <v>0</v>
      </c>
    </row>
    <row r="13" spans="1:16" x14ac:dyDescent="0.25">
      <c r="A13" s="1961">
        <v>7</v>
      </c>
      <c r="B13" s="2351" t="str">
        <f>Basisgegevens!B316</f>
        <v>--</v>
      </c>
      <c r="C13" s="413" t="str">
        <f>IF(Basisgegevens!C316=1,Basisgegevens!$E333,"--")</f>
        <v>--</v>
      </c>
      <c r="D13" s="2352" t="str">
        <f>IF(Basisgegevens!D316=1,Basisgegevens!$E333,"--")</f>
        <v>--</v>
      </c>
      <c r="E13" s="2604">
        <f>IF(C13="--",0,IF(COUNTIF(C$7:C13,"&gt;0")=1,IF(C$25&gt;1,Basisgegevens!$C$238,Basisgegevens!$C$237),IF(COUNTIF(C$7:C13,"&gt;0")&gt;2,Basisgegevens!$C$239,IF(D$25&gt;1,"Zie 1e kind",0))))</f>
        <v>0</v>
      </c>
      <c r="F13" s="2603">
        <f>IF(D13="--",0,IF(COUNTIF(D$7:D13,"&gt;0")=1,IF(D$25&gt;1,Basisgegevens!$C$238,Basisgegevens!$C$237),IF(COUNTIF(D$7:D13,"&gt;0")&gt;2,Basisgegevens!$C$239,IF(D$25&gt;1,"Zie 1e kind",0))))</f>
        <v>0</v>
      </c>
      <c r="G13" s="2612">
        <f>IF(C13&amp;D13="----",0,IF(COUNTIF(C$7:D13,"&gt;0")=1,IF(C$25+D$25&gt;1,Basisgegevens!$D$238,Basisgegevens!$D$237),IF(COUNTIF(C$7:D13,"&gt;0")&gt;2,Basisgegevens!$D$239,IF(C$25+D$25&gt;1,"Zie 1e kind",0))))</f>
        <v>0</v>
      </c>
    </row>
    <row r="14" spans="1:16" x14ac:dyDescent="0.25">
      <c r="A14" s="1961">
        <v>8</v>
      </c>
      <c r="B14" s="2351" t="str">
        <f>Basisgegevens!B317</f>
        <v>--</v>
      </c>
      <c r="C14" s="413" t="str">
        <f>IF(Basisgegevens!C317=1,Basisgegevens!$E334,"--")</f>
        <v>--</v>
      </c>
      <c r="D14" s="2352" t="str">
        <f>IF(Basisgegevens!D317=1,Basisgegevens!$E334,"--")</f>
        <v>--</v>
      </c>
      <c r="E14" s="2604">
        <f>IF(C14="--",0,IF(COUNTIF(C$7:C14,"&gt;0")=1,IF(C$25&gt;1,Basisgegevens!$C$238,Basisgegevens!$C$237),IF(COUNTIF(C$7:C14,"&gt;0")&gt;2,Basisgegevens!$C$239,IF(D$25&gt;1,"Zie 1e kind",0))))</f>
        <v>0</v>
      </c>
      <c r="F14" s="2603">
        <f>IF(D14="--",0,IF(COUNTIF(D$7:D14,"&gt;0")=1,IF(D$25&gt;1,Basisgegevens!$C$238,Basisgegevens!$C$237),IF(COUNTIF(D$7:D14,"&gt;0")&gt;2,Basisgegevens!$C$239,IF(D$25&gt;1,"Zie 1e kind",0))))</f>
        <v>0</v>
      </c>
      <c r="G14" s="2612">
        <f>IF(C14&amp;D14="----",0,IF(COUNTIF(C$7:D14,"&gt;0")=1,IF(C$25+D$25&gt;1,Basisgegevens!$D$238,Basisgegevens!$D$237),IF(COUNTIF(C$7:D14,"&gt;0")&gt;2,Basisgegevens!$D$239,IF(C$25+D$25&gt;1,"Zie 1e kind",0))))</f>
        <v>0</v>
      </c>
    </row>
    <row r="15" spans="1:16" x14ac:dyDescent="0.25">
      <c r="A15" s="1961">
        <v>9</v>
      </c>
      <c r="B15" s="2351" t="str">
        <f>Basisgegevens!B318</f>
        <v>--</v>
      </c>
      <c r="C15" s="413" t="str">
        <f>IF(Basisgegevens!C318=1,Basisgegevens!$E335,"--")</f>
        <v>--</v>
      </c>
      <c r="D15" s="2352" t="str">
        <f>IF(Basisgegevens!D318=1,Basisgegevens!$E335,"--")</f>
        <v>--</v>
      </c>
      <c r="E15" s="2604">
        <f>IF(C15="--",0,IF(COUNTIF(C$7:C15,"&gt;0")=1,IF(C$25&gt;1,Basisgegevens!$C$238,Basisgegevens!$C$237),IF(COUNTIF(C$7:C15,"&gt;0")&gt;2,Basisgegevens!$C$239,IF(D$25&gt;1,"Zie 1e kind",0))))</f>
        <v>0</v>
      </c>
      <c r="F15" s="2603">
        <f>IF(D15="--",0,IF(COUNTIF(D$7:D15,"&gt;0")=1,IF(D$25&gt;1,Basisgegevens!$C$238,Basisgegevens!$C$237),IF(COUNTIF(D$7:D15,"&gt;0")&gt;2,Basisgegevens!$C$239,IF(D$25&gt;1,"Zie 1e kind",0))))</f>
        <v>0</v>
      </c>
      <c r="G15" s="2612">
        <f>IF(C15&amp;D15="----",0,IF(COUNTIF(C$7:D15,"&gt;0")=1,IF(C$25+D$25&gt;1,Basisgegevens!$D$238,Basisgegevens!$D$237),IF(COUNTIF(C$7:D15,"&gt;0")&gt;2,Basisgegevens!$D$239,IF(C$25+D$25&gt;1,"Zie 1e kind",0))))</f>
        <v>0</v>
      </c>
    </row>
    <row r="16" spans="1:16" x14ac:dyDescent="0.25">
      <c r="A16" s="1961">
        <v>10</v>
      </c>
      <c r="B16" s="2351" t="str">
        <f>Basisgegevens!B319</f>
        <v>--</v>
      </c>
      <c r="C16" s="413" t="str">
        <f>IF(Basisgegevens!C319=1,Basisgegevens!$E336,"--")</f>
        <v>--</v>
      </c>
      <c r="D16" s="2352" t="str">
        <f>IF(Basisgegevens!D319=1,Basisgegevens!$E336,"--")</f>
        <v>--</v>
      </c>
      <c r="E16" s="2604">
        <f>IF(C16="--",0,IF(COUNTIF(C$7:C16,"&gt;0")=1,IF(C$25&gt;1,Basisgegevens!$C$238,Basisgegevens!$C$237),IF(COUNTIF(C$7:C16,"&gt;0")&gt;2,Basisgegevens!$C$239,IF(D$25&gt;1,"Zie 1e kind",0))))</f>
        <v>0</v>
      </c>
      <c r="F16" s="2603">
        <f>IF(D16="--",0,IF(COUNTIF(D$7:D16,"&gt;0")=1,IF(D$25&gt;1,Basisgegevens!$C$238,Basisgegevens!$C$237),IF(COUNTIF(D$7:D16,"&gt;0")&gt;2,Basisgegevens!$C$239,IF(D$25&gt;1,"Zie 1e kind",0))))</f>
        <v>0</v>
      </c>
      <c r="G16" s="2612">
        <f>IF(C16&amp;D16="----",0,IF(COUNTIF(C$7:D16,"&gt;0")=1,IF(C$25+D$25&gt;1,Basisgegevens!$D$238,Basisgegevens!$D$237),IF(COUNTIF(C$7:D16,"&gt;0")&gt;2,Basisgegevens!$D$239,IF(C$25+D$25&gt;1,"Zie 1e kind",0))))</f>
        <v>0</v>
      </c>
    </row>
    <row r="17" spans="1:17" x14ac:dyDescent="0.25">
      <c r="A17" s="1961">
        <v>11</v>
      </c>
      <c r="B17" s="2351" t="str">
        <f>Basisgegevens!B320</f>
        <v>--</v>
      </c>
      <c r="C17" s="413" t="str">
        <f>IF(Basisgegevens!C320=1,Basisgegevens!$E337,"--")</f>
        <v>--</v>
      </c>
      <c r="D17" s="2352" t="str">
        <f>IF(Basisgegevens!D320=1,Basisgegevens!$E337,"--")</f>
        <v>--</v>
      </c>
      <c r="E17" s="2604">
        <f>IF(C17="--",0,IF(COUNTIF(C$7:C17,"&gt;0")=1,IF(C$25&gt;1,Basisgegevens!$C$238,Basisgegevens!$C$237),IF(COUNTIF(C$7:C17,"&gt;0")&gt;2,Basisgegevens!$C$239,IF(D$25&gt;1,"Zie 1e kind",0))))</f>
        <v>0</v>
      </c>
      <c r="F17" s="2603">
        <f>IF(D17="--",0,IF(COUNTIF(D$7:D17,"&gt;0")=1,IF(D$25&gt;1,Basisgegevens!$C$238,Basisgegevens!$C$237),IF(COUNTIF(D$7:D17,"&gt;0")&gt;2,Basisgegevens!$C$239,IF(D$25&gt;1,"Zie 1e kind",0))))</f>
        <v>0</v>
      </c>
      <c r="G17" s="2612">
        <f>IF(C17&amp;D17="----",0,IF(COUNTIF(C$7:D17,"&gt;0")=1,IF(C$25+D$25&gt;1,Basisgegevens!$D$238,Basisgegevens!$D$237),IF(COUNTIF(C$7:D17,"&gt;0")&gt;2,Basisgegevens!$D$239,IF(C$25+D$25&gt;1,"Zie 1e kind",0))))</f>
        <v>0</v>
      </c>
    </row>
    <row r="18" spans="1:17" ht="15.75" thickBot="1" x14ac:dyDescent="0.3">
      <c r="A18" s="2365">
        <v>12</v>
      </c>
      <c r="B18" s="2366" t="str">
        <f>Basisgegevens!B321</f>
        <v>--</v>
      </c>
      <c r="C18" s="414" t="str">
        <f>IF(Basisgegevens!C321=1,Basisgegevens!$E338,"--")</f>
        <v>--</v>
      </c>
      <c r="D18" s="2605" t="str">
        <f>IF(Basisgegevens!D321=1,Basisgegevens!$E338,"--")</f>
        <v>--</v>
      </c>
      <c r="E18" s="2606">
        <f>IF(C18="--",0,IF(COUNTIF(C$7:C18,"&gt;0")=1,IF(C$25&gt;1,Basisgegevens!$C$238,Basisgegevens!$C$237),IF(COUNTIF(C$7:C18,"&gt;0")&gt;2,Basisgegevens!$C$239,IF(D$25&gt;1,"Zie 1e kind",0))))</f>
        <v>0</v>
      </c>
      <c r="F18" s="2607">
        <f>IF(D18="--",0,IF(COUNTIF(D$7:D18,"&gt;0")=1,IF(D$25&gt;1,Basisgegevens!$C$238,Basisgegevens!$C$237),IF(COUNTIF(D$7:D18,"&gt;0")&gt;2,Basisgegevens!$C$239,IF(D$25&gt;1,"Zie 1e kind",0))))</f>
        <v>0</v>
      </c>
      <c r="G18" s="2613">
        <f>IF(C18&amp;D18="----",0,IF(COUNTIF(C$7:D18,"&gt;0")=1,IF(C$25+D$25&gt;1,Basisgegevens!$D$238,Basisgegevens!$D$237),IF(COUNTIF(C$7:D18,"&gt;0")&gt;2,Basisgegevens!$D$239,IF(C$25+D$25&gt;1,"Zie 1e kind",0))))</f>
        <v>0</v>
      </c>
    </row>
    <row r="19" spans="1:17" ht="15.75" thickBot="1" x14ac:dyDescent="0.3">
      <c r="A19" s="14"/>
      <c r="D19" s="2371" t="s">
        <v>1090</v>
      </c>
      <c r="E19" s="2373">
        <f>SUM(E7:E18)</f>
        <v>0</v>
      </c>
      <c r="F19" s="2608">
        <f t="shared" ref="F19:G19" si="0">SUM(F7:F18)</f>
        <v>0</v>
      </c>
      <c r="G19" s="2373">
        <f t="shared" si="0"/>
        <v>0</v>
      </c>
      <c r="I19" s="4" t="s">
        <v>1132</v>
      </c>
    </row>
    <row r="20" spans="1:17" ht="15.75" thickBot="1" x14ac:dyDescent="0.3">
      <c r="B20" s="4" t="s">
        <v>1092</v>
      </c>
      <c r="M20" s="1846" t="str">
        <f>Basisgegevens!B241</f>
        <v>Verhoog het maximale toeslagbedrag</v>
      </c>
    </row>
    <row r="21" spans="1:17" ht="15.75" thickBot="1" x14ac:dyDescent="0.3">
      <c r="C21" s="50" t="str">
        <f>BGPartner_AP</f>
        <v>A. Plichtig</v>
      </c>
      <c r="D21" s="23" t="str">
        <f>BGPartner_AG</f>
        <v>A. Gerechtigd</v>
      </c>
      <c r="E21" s="50" t="str">
        <f>BGPartner_AP</f>
        <v>A. Plichtig</v>
      </c>
      <c r="F21" s="2360" t="str">
        <f>BGPartner_AG</f>
        <v>A. Gerechtigd</v>
      </c>
      <c r="G21" s="119" t="str">
        <f>$G$6</f>
        <v>Gezamenlijk</v>
      </c>
      <c r="I21" s="50" t="str">
        <f>BGPartner_AP</f>
        <v>A. Plichtig</v>
      </c>
      <c r="J21" s="2360" t="str">
        <f>BGPartner_AG</f>
        <v>A. Gerechtigd</v>
      </c>
      <c r="K21" s="119" t="str">
        <f>$G$6</f>
        <v>Gezamenlijk</v>
      </c>
      <c r="M21" s="908" t="str" cm="1">
        <f t="array" ref="M21:N23">Basisgegevens!B242:C244</f>
        <v>Leeftijdscategorie</v>
      </c>
      <c r="N21" s="227" t="str">
        <v>Verhoging</v>
      </c>
    </row>
    <row r="22" spans="1:17" x14ac:dyDescent="0.25">
      <c r="A22" s="14"/>
      <c r="B22" s="2357" t="s">
        <v>1158</v>
      </c>
      <c r="C22" s="2353">
        <f>COUNTIF(C$7:C$18,"&lt;12")</f>
        <v>0</v>
      </c>
      <c r="D22" s="2354">
        <f>COUNTIF(D$7:D$18,"&lt;12")</f>
        <v>0</v>
      </c>
      <c r="E22" s="2600" t="s">
        <v>1159</v>
      </c>
      <c r="F22" s="2600" t="s">
        <v>1159</v>
      </c>
      <c r="G22" s="2600" t="s">
        <v>1159</v>
      </c>
      <c r="I22" s="2600" t="s">
        <v>1159</v>
      </c>
      <c r="J22" s="2600" t="s">
        <v>1159</v>
      </c>
      <c r="K22" s="2600" t="s">
        <v>1159</v>
      </c>
      <c r="M22" s="2593" t="str">
        <v>Kind van 12 t/m 15</v>
      </c>
      <c r="N22" s="2594">
        <v>703</v>
      </c>
    </row>
    <row r="23" spans="1:17" ht="15.75" thickBot="1" x14ac:dyDescent="0.3">
      <c r="A23" s="14"/>
      <c r="B23" s="2358" t="s">
        <v>1086</v>
      </c>
      <c r="C23" s="2355">
        <f>COUNTIFS(C$7:C$18,"&gt;11",C$7:C$18,"&lt;16")</f>
        <v>0</v>
      </c>
      <c r="D23" s="2367">
        <f>COUNTIFS(D$7:D$18,"&gt;11",D$7:D$18,"&lt;16")</f>
        <v>0</v>
      </c>
      <c r="E23" s="2378">
        <f>$C23*Basisgegevens!$C$243</f>
        <v>0</v>
      </c>
      <c r="F23" s="2378">
        <f>$D23*Basisgegevens!$C$243</f>
        <v>0</v>
      </c>
      <c r="G23" s="2378">
        <f>($C23+$D23)*Basisgegevens!$C$243</f>
        <v>0</v>
      </c>
      <c r="I23" s="2378">
        <f>$C23*Basisgegevens!$C$243</f>
        <v>0</v>
      </c>
      <c r="J23" s="2378">
        <f>$D23*Basisgegevens!$C$243</f>
        <v>0</v>
      </c>
      <c r="K23" s="2378">
        <f>($C23+$D23)*Basisgegevens!$C$243</f>
        <v>0</v>
      </c>
      <c r="M23" s="757" t="str">
        <v>Kind van 16 t/m 17</v>
      </c>
      <c r="N23" s="2596">
        <v>936</v>
      </c>
    </row>
    <row r="24" spans="1:17" ht="15.75" thickBot="1" x14ac:dyDescent="0.3">
      <c r="A24" s="14"/>
      <c r="B24" s="2359" t="s">
        <v>1087</v>
      </c>
      <c r="C24" s="2356">
        <f>COUNTIFS(C$7:C$18,"&gt;15",C$7:C$18,"&lt;18")</f>
        <v>0</v>
      </c>
      <c r="D24" s="2368">
        <f>COUNTIFS(D$7:D$18,"&gt;15",D$7:D$18,"&lt;18")</f>
        <v>0</v>
      </c>
      <c r="E24" s="2383">
        <f>$C24*Basisgegevens!$C$244</f>
        <v>0</v>
      </c>
      <c r="F24" s="2383">
        <f>$D24*Basisgegevens!$C$244</f>
        <v>0</v>
      </c>
      <c r="G24" s="2383">
        <f>($C24+$D24)*Basisgegevens!$C$244</f>
        <v>0</v>
      </c>
      <c r="I24" s="2383">
        <f>$C24*Basisgegevens!$C$244</f>
        <v>0</v>
      </c>
      <c r="J24" s="2383">
        <f>$D24*Basisgegevens!$C$244</f>
        <v>0</v>
      </c>
      <c r="K24" s="2383">
        <f>($C24+$D24)*Basisgegevens!$C$244</f>
        <v>0</v>
      </c>
    </row>
    <row r="25" spans="1:17" ht="15.75" thickBot="1" x14ac:dyDescent="0.3">
      <c r="A25" s="14"/>
      <c r="B25" s="2371" t="s">
        <v>756</v>
      </c>
      <c r="C25" s="1857">
        <f>SUM(C22:C24)</f>
        <v>0</v>
      </c>
      <c r="D25" s="2372">
        <f>SUM(D22:D24)</f>
        <v>0</v>
      </c>
      <c r="E25" s="2373">
        <f>SUM(E23:E24)</f>
        <v>0</v>
      </c>
      <c r="F25" s="2373">
        <f t="shared" ref="F25:G25" si="1">SUM(F23:F24)</f>
        <v>0</v>
      </c>
      <c r="G25" s="2373">
        <f t="shared" si="1"/>
        <v>0</v>
      </c>
      <c r="I25" s="2373">
        <f t="shared" ref="I25:K25" si="2">SUM(I23:I24)</f>
        <v>0</v>
      </c>
      <c r="J25" s="2373">
        <f t="shared" si="2"/>
        <v>0</v>
      </c>
      <c r="K25" s="2373">
        <f t="shared" si="2"/>
        <v>0</v>
      </c>
    </row>
    <row r="26" spans="1:17" ht="15.75" thickBot="1" x14ac:dyDescent="0.3">
      <c r="D26" s="1264" t="s">
        <v>1095</v>
      </c>
      <c r="E26" s="2375">
        <f>$E19+E25</f>
        <v>0</v>
      </c>
      <c r="F26" s="2361">
        <f>$F19+$F25</f>
        <v>0</v>
      </c>
      <c r="G26" s="2376">
        <f>$G19+G25</f>
        <v>0</v>
      </c>
      <c r="I26" s="2375">
        <f>$E19+I25</f>
        <v>0</v>
      </c>
      <c r="J26" s="2361">
        <f>$F19+$F25</f>
        <v>0</v>
      </c>
      <c r="K26" s="2376">
        <f>$G19+K25</f>
        <v>0</v>
      </c>
    </row>
    <row r="27" spans="1:17" ht="15.75" thickBot="1" x14ac:dyDescent="0.3">
      <c r="B27" s="4" t="s">
        <v>1099</v>
      </c>
    </row>
    <row r="28" spans="1:17" ht="15.75" thickBot="1" x14ac:dyDescent="0.3">
      <c r="A28" s="908" t="s">
        <v>223</v>
      </c>
      <c r="B28" s="3120" t="s">
        <v>70</v>
      </c>
      <c r="C28" s="3120"/>
      <c r="D28" s="3121"/>
      <c r="E28" s="18" t="str">
        <f>BGPartner_AP</f>
        <v>A. Plichtig</v>
      </c>
      <c r="F28" s="105" t="str">
        <f>BGPartner_AG</f>
        <v>A. Gerechtigd</v>
      </c>
      <c r="G28" s="119" t="str">
        <f>$G$6</f>
        <v>Gezamenlijk</v>
      </c>
      <c r="I28" s="18" t="str">
        <f>BGPartner_AP</f>
        <v>A. Plichtig</v>
      </c>
      <c r="J28" s="105" t="str">
        <f>BGPartner_AG</f>
        <v>A. Gerechtigd</v>
      </c>
      <c r="K28" s="119" t="str">
        <f>$G$6</f>
        <v>Gezamenlijk</v>
      </c>
      <c r="M28" s="908" t="str" cm="1">
        <f t="array" ref="M28:Q30">Basisgegevens!B246:F248</f>
        <v>Situatie</v>
      </c>
      <c r="N28" s="224" t="str">
        <v>Toetsinkomen tot</v>
      </c>
      <c r="O28" s="2308" t="str">
        <v>Afbouw %</v>
      </c>
      <c r="P28" s="2918" t="str">
        <v>Formule</v>
      </c>
      <c r="Q28" s="2919">
        <v>0</v>
      </c>
    </row>
    <row r="29" spans="1:17" x14ac:dyDescent="0.25">
      <c r="A29" s="2485">
        <f>'Alimentatie 2025-01'!A129</f>
        <v>94</v>
      </c>
      <c r="B29" s="2664" t="str">
        <f>'Alimentatie 2025-01'!B129</f>
        <v>Belastbaar verzamelinkomen uit werk en woning (a t/m h) (Box I):</v>
      </c>
      <c r="C29" s="2664"/>
      <c r="D29" s="2665"/>
      <c r="E29" s="2537">
        <f>'Alimentatie 2025-01'!$F$129</f>
        <v>0</v>
      </c>
      <c r="F29" s="2538">
        <f>'Alimentatie 2025-01'!$I$129</f>
        <v>0</v>
      </c>
      <c r="G29" s="2377">
        <f>E29+F29</f>
        <v>0</v>
      </c>
      <c r="I29" s="2537">
        <f>'Alimentatie 2025-01'!E129</f>
        <v>0</v>
      </c>
      <c r="J29" s="2538">
        <f>'Alimentatie 2025-01'!$H$129</f>
        <v>0</v>
      </c>
      <c r="K29" s="2377">
        <f>I29+J29</f>
        <v>0</v>
      </c>
      <c r="M29" s="904" t="str">
        <v>Met toeslagpartner</v>
      </c>
      <c r="N29" s="2597">
        <v>37545</v>
      </c>
      <c r="O29" s="2599">
        <v>7.0999999999999994E-2</v>
      </c>
      <c r="P29" s="3157" t="str">
        <v>7,1% x (Toetsinkomen - €37545)</v>
      </c>
      <c r="Q29" s="3158">
        <v>0</v>
      </c>
    </row>
    <row r="30" spans="1:17" ht="15.75" thickBot="1" x14ac:dyDescent="0.3">
      <c r="A30" s="2305">
        <f>'Alimentatie 2025-01'!A86</f>
        <v>81</v>
      </c>
      <c r="B30" s="2651" t="str">
        <f>'Alimentatie 2025-01'!B86</f>
        <v>Belastbare periodieke uitkeringen en verstrekkingen:</v>
      </c>
      <c r="C30" s="2651"/>
      <c r="D30" s="2652"/>
      <c r="E30" s="2378">
        <f>AL85InkomstenEW_AP</f>
        <v>0</v>
      </c>
      <c r="F30" s="2384">
        <f>AL85InkomstenEW_AG</f>
        <v>0</v>
      </c>
      <c r="G30" s="2378">
        <f>SUM(E30:F30)</f>
        <v>0</v>
      </c>
      <c r="I30" s="2378">
        <f>AL85InkomstenEW_AP</f>
        <v>0</v>
      </c>
      <c r="J30" s="2384">
        <f>AL85InkomstenEW_AG</f>
        <v>0</v>
      </c>
      <c r="K30" s="2378">
        <f>SUM(I30:J30)</f>
        <v>0</v>
      </c>
      <c r="M30" s="757" t="str">
        <v>Zonder toeslagpartner</v>
      </c>
      <c r="N30" s="2598">
        <v>28406</v>
      </c>
      <c r="O30" s="2393">
        <v>0</v>
      </c>
      <c r="P30" s="3159" t="str">
        <v>7,1% x (Toetsinkomen - €28406)</v>
      </c>
      <c r="Q30" s="3160">
        <v>0</v>
      </c>
    </row>
    <row r="31" spans="1:17" x14ac:dyDescent="0.25">
      <c r="A31" s="2305">
        <f>'Alimentatie 2025-01'!A280</f>
        <v>138</v>
      </c>
      <c r="B31" s="2651" t="str">
        <f>'Alimentatie 2025-01'!B280</f>
        <v xml:space="preserve">Alimentatieverplichting (eerdere) ex-partner </v>
      </c>
      <c r="C31" s="2651"/>
      <c r="D31" s="2652"/>
      <c r="E31" s="2378">
        <f>'Alimentatie 2025-01'!$D280*12</f>
        <v>0</v>
      </c>
      <c r="F31" s="2384">
        <f>'Alimentatie 2025-01'!$G280*12</f>
        <v>0</v>
      </c>
      <c r="G31" s="2378">
        <f>SUM(E31:F31)</f>
        <v>0</v>
      </c>
      <c r="H31" s="433" t="s">
        <v>68</v>
      </c>
      <c r="I31" s="2378">
        <f>'Alimentatie 2025-01'!$D280*12</f>
        <v>0</v>
      </c>
      <c r="J31" s="2384">
        <f>'Alimentatie 2025-01'!$G280*12</f>
        <v>0</v>
      </c>
      <c r="K31" s="2378">
        <f>SUM(I31:J31)</f>
        <v>0</v>
      </c>
    </row>
    <row r="32" spans="1:17" x14ac:dyDescent="0.25">
      <c r="A32" s="2305"/>
      <c r="B32" s="2651" t="str">
        <f>'Alimentatie 2025-01'!B306</f>
        <v>Netto alimentatie (NA) volgens berekening Methode Buijs per jaar :</v>
      </c>
      <c r="C32" s="2651"/>
      <c r="D32" s="2652"/>
      <c r="E32" s="2378">
        <f>F32*-1</f>
        <v>0</v>
      </c>
      <c r="F32" s="2539">
        <f>'Alimentatie 2025-01'!$F$306</f>
        <v>0</v>
      </c>
      <c r="G32" s="2378">
        <f t="shared" ref="G32:G40" si="3">SUM(E32:F32)</f>
        <v>0</v>
      </c>
      <c r="I32" s="2378">
        <f>J32*-1</f>
        <v>0</v>
      </c>
      <c r="J32" s="2539">
        <f>'Alimentatie 2025-01'!D306</f>
        <v>0</v>
      </c>
      <c r="K32" s="2378">
        <f t="shared" ref="K32:K33" si="4">SUM(I32:J32)</f>
        <v>0</v>
      </c>
    </row>
    <row r="33" spans="1:11" ht="15.75" thickBot="1" x14ac:dyDescent="0.3">
      <c r="A33" s="2490">
        <f>'Alimentatie 2025-01'!A296</f>
        <v>142</v>
      </c>
      <c r="B33" s="3161" t="str">
        <f>'Alimentatie 2025-01'!B296</f>
        <v>Voordeel i.v.m. uitgaven voor levensonderhoud van kinderen (vervallen)</v>
      </c>
      <c r="C33" s="3161"/>
      <c r="D33" s="3122"/>
      <c r="E33" s="2385">
        <f>'Alimentatie 2025-01'!$D296</f>
        <v>0</v>
      </c>
      <c r="F33" s="2386">
        <f>'Alimentatie 2025-01'!$G296</f>
        <v>0</v>
      </c>
      <c r="G33" s="2385">
        <f t="shared" si="3"/>
        <v>0</v>
      </c>
      <c r="I33" s="2385">
        <f>'Alimentatie 2025-01'!$D296</f>
        <v>0</v>
      </c>
      <c r="J33" s="2386">
        <f>'Alimentatie 2025-01'!$G296</f>
        <v>0</v>
      </c>
      <c r="K33" s="2385">
        <f t="shared" si="4"/>
        <v>0</v>
      </c>
    </row>
    <row r="34" spans="1:11" ht="15.75" thickBot="1" x14ac:dyDescent="0.3">
      <c r="B34" s="2488" t="str" cm="1">
        <f t="array" ref="B34:B37">Basisgegevens!B26:B29</f>
        <v>Omschrijving</v>
      </c>
      <c r="C34" s="2489" t="s">
        <v>1096</v>
      </c>
      <c r="D34" s="2489" t="s">
        <v>1096</v>
      </c>
      <c r="E34" s="783"/>
      <c r="I34" s="783"/>
    </row>
    <row r="35" spans="1:11" x14ac:dyDescent="0.25">
      <c r="B35" s="2379" t="str">
        <v>Bijtelling volgens salarisstrook</v>
      </c>
      <c r="C35" s="2389">
        <f>Basisgegevens!D27</f>
        <v>0</v>
      </c>
      <c r="D35" s="2389">
        <f>Basisgegevens!F27</f>
        <v>0</v>
      </c>
    </row>
    <row r="36" spans="1:11" ht="15.75" thickBot="1" x14ac:dyDescent="0.3">
      <c r="B36" s="2380" t="str">
        <v>Eigen bijdrage</v>
      </c>
      <c r="C36" s="2390">
        <f>Basisgegevens!D28</f>
        <v>0</v>
      </c>
      <c r="D36" s="2390">
        <f>Basisgegevens!F28</f>
        <v>0</v>
      </c>
      <c r="G36" s="783"/>
      <c r="K36" s="783"/>
    </row>
    <row r="37" spans="1:11" ht="15.75" thickBot="1" x14ac:dyDescent="0.3">
      <c r="B37" s="2462" t="str">
        <v>Bijtelling auto van de zaak</v>
      </c>
      <c r="C37" s="2464"/>
      <c r="D37" s="2465"/>
      <c r="E37" s="2463">
        <f>Basisgegevens!$D29</f>
        <v>0</v>
      </c>
      <c r="F37" s="2392">
        <f>Basisgegevens!$F29</f>
        <v>0</v>
      </c>
      <c r="G37" s="2391">
        <f>E37+F37</f>
        <v>0</v>
      </c>
      <c r="I37" s="2536">
        <f>Basisgegevens!$D29</f>
        <v>0</v>
      </c>
      <c r="J37" s="2536">
        <f>Basisgegevens!$F29</f>
        <v>0</v>
      </c>
      <c r="K37" s="2460">
        <f>I37+J37</f>
        <v>0</v>
      </c>
    </row>
    <row r="38" spans="1:11" ht="15.75" thickBot="1" x14ac:dyDescent="0.3">
      <c r="A38" s="2454"/>
      <c r="B38" s="3163" t="s">
        <v>1097</v>
      </c>
      <c r="C38" s="3164"/>
      <c r="D38" s="3165"/>
      <c r="E38" s="2455">
        <f>E29+E30-E31+E32</f>
        <v>0</v>
      </c>
      <c r="F38" s="2455">
        <f>F29+F30-F31+F32</f>
        <v>0</v>
      </c>
      <c r="G38" s="2455">
        <f>G29+G30-G31+G32</f>
        <v>0</v>
      </c>
      <c r="I38" s="2455">
        <f>I29+I30-I31+I32</f>
        <v>0</v>
      </c>
      <c r="J38" s="2455">
        <f>J29+J30-J31+J32</f>
        <v>0</v>
      </c>
      <c r="K38" s="2455">
        <f>K29+K30-K31+K32</f>
        <v>0</v>
      </c>
    </row>
    <row r="39" spans="1:11" ht="15.75" thickBot="1" x14ac:dyDescent="0.3">
      <c r="A39" s="2456">
        <f>'Alimentatie 2025-01'!A147</f>
        <v>100</v>
      </c>
      <c r="B39" s="3166" t="str">
        <f>'Alimentatie 2025-01'!B147</f>
        <v>Belastbaar inkomen uit aanmerkelijk belang (Box II):</v>
      </c>
      <c r="C39" s="3166"/>
      <c r="D39" s="3167"/>
      <c r="E39" s="2457">
        <f>'Alimentatie 2025-01'!$D147</f>
        <v>0</v>
      </c>
      <c r="F39" s="2458">
        <f>'Alimentatie 2025-01'!$G147</f>
        <v>0</v>
      </c>
      <c r="G39" s="2457">
        <f t="shared" si="3"/>
        <v>0</v>
      </c>
      <c r="I39" s="2457">
        <f>'Alimentatie 2025-01'!$D147</f>
        <v>0</v>
      </c>
      <c r="J39" s="2458">
        <f>'Alimentatie 2025-01'!$G147</f>
        <v>0</v>
      </c>
      <c r="K39" s="2457">
        <f t="shared" ref="K39:K40" si="5">SUM(I39:J39)</f>
        <v>0</v>
      </c>
    </row>
    <row r="40" spans="1:11" ht="15.75" thickBot="1" x14ac:dyDescent="0.3">
      <c r="A40" s="2459">
        <f>'Alimentatie 2025-01'!A175</f>
        <v>111</v>
      </c>
      <c r="B40" s="3087" t="str">
        <f>'Alimentatie 2025-01'!B175</f>
        <v>Belastbaar inkomen uit sparen en beleggen (Box III):</v>
      </c>
      <c r="C40" s="3087"/>
      <c r="D40" s="3088"/>
      <c r="E40" s="2460">
        <f>'Alimentatie 2025-01'!$D175</f>
        <v>0</v>
      </c>
      <c r="F40" s="2461">
        <f>'Alimentatie 2025-01'!$G175</f>
        <v>0</v>
      </c>
      <c r="G40" s="2460">
        <f t="shared" si="3"/>
        <v>0</v>
      </c>
      <c r="I40" s="2460">
        <f>'Alimentatie 2025-01'!$D175</f>
        <v>0</v>
      </c>
      <c r="J40" s="2461">
        <f>'Alimentatie 2025-01'!$G175</f>
        <v>0</v>
      </c>
      <c r="K40" s="2460">
        <f t="shared" si="5"/>
        <v>0</v>
      </c>
    </row>
    <row r="41" spans="1:11" ht="15.75" thickBot="1" x14ac:dyDescent="0.3">
      <c r="D41" s="2381" t="s">
        <v>1107</v>
      </c>
      <c r="E41" s="2373">
        <f>SUM(E37:E40)</f>
        <v>0</v>
      </c>
      <c r="F41" s="2373">
        <f>SUM(F37:F40)</f>
        <v>0</v>
      </c>
      <c r="G41" s="2373">
        <f>SUM(G37:G40)</f>
        <v>0</v>
      </c>
      <c r="I41" s="2373">
        <f>SUM(I37:I40)</f>
        <v>0</v>
      </c>
      <c r="J41" s="2373">
        <f>SUM(J37:J40)</f>
        <v>0</v>
      </c>
      <c r="K41" s="2373">
        <f>SUM(K37:K40)</f>
        <v>0</v>
      </c>
    </row>
    <row r="42" spans="1:11" ht="15.75" thickBot="1" x14ac:dyDescent="0.3"/>
    <row r="43" spans="1:11" ht="15.75" thickBot="1" x14ac:dyDescent="0.3">
      <c r="E43" s="50" t="str">
        <f>BGPartner_AP</f>
        <v>A. Plichtig</v>
      </c>
      <c r="F43" s="2360" t="str">
        <f>BGPartner_AG</f>
        <v>A. Gerechtigd</v>
      </c>
      <c r="G43" s="119" t="str">
        <f>$G$6</f>
        <v>Gezamenlijk</v>
      </c>
      <c r="I43" s="50" t="str">
        <f>BGPartner_AP</f>
        <v>A. Plichtig</v>
      </c>
      <c r="J43" s="2360" t="str">
        <f>BGPartner_AG</f>
        <v>A. Gerechtigd</v>
      </c>
      <c r="K43" s="119" t="str">
        <f>$G$6</f>
        <v>Gezamenlijk</v>
      </c>
    </row>
    <row r="44" spans="1:11" ht="15.75" thickBot="1" x14ac:dyDescent="0.3">
      <c r="B44" s="4" t="s">
        <v>1106</v>
      </c>
      <c r="D44" s="2374" t="s">
        <v>1105</v>
      </c>
      <c r="E44" s="2387" t="b">
        <f>IF(E41&gt;Basisgegevens!$C$248,Basisgegevens!$D$247*(E41-Basisgegevens!$C$248))</f>
        <v>0</v>
      </c>
      <c r="F44" s="2388" t="b">
        <f>IF(F41&gt;Basisgegevens!$C$248,Basisgegevens!$D$247*(F41-Basisgegevens!$C$248))</f>
        <v>0</v>
      </c>
      <c r="G44" s="2387" t="b">
        <f>IF(G41&gt;Basisgegevens!$C$247,Basisgegevens!$D$247*(G41-Basisgegevens!$C$247))</f>
        <v>0</v>
      </c>
      <c r="I44" s="2387" t="b">
        <f>IF(I41&gt;Basisgegevens!$C$248,Basisgegevens!$D$247*(I41-Basisgegevens!$C$248))</f>
        <v>0</v>
      </c>
      <c r="J44" s="2388" t="b">
        <f>IF(J41&gt;Basisgegevens!$C$248,Basisgegevens!$D$247*(J41-Basisgegevens!$C$248))</f>
        <v>0</v>
      </c>
      <c r="K44" s="2387" t="b">
        <f>IF(K41&gt;Basisgegevens!$C$247,Basisgegevens!$D$247*(K41-Basisgegevens!$C$247))</f>
        <v>0</v>
      </c>
    </row>
    <row r="45" spans="1:11" ht="16.5" thickBot="1" x14ac:dyDescent="0.3">
      <c r="B45" s="4" t="s">
        <v>1108</v>
      </c>
      <c r="D45" s="2583" t="s">
        <v>1109</v>
      </c>
      <c r="E45" s="2584">
        <f>IF(E26-E44&lt;0.01,0,E26-E44)</f>
        <v>0</v>
      </c>
      <c r="F45" s="2584">
        <f>IF(F26-F44&lt;0.01,0,F26-F44)</f>
        <v>0</v>
      </c>
      <c r="G45" s="2584">
        <f>IF(G26-G44&lt;0.01,0,G26-G44)</f>
        <v>0</v>
      </c>
      <c r="H45" s="2585"/>
      <c r="I45" s="2584">
        <f>IF(I26-I44&lt;0.01,0,I26-I44)</f>
        <v>0</v>
      </c>
      <c r="J45" s="2584">
        <f>IF(J26-J44&lt;0.01,0,J26-J44)</f>
        <v>0</v>
      </c>
      <c r="K45" s="2584">
        <f>IF(K26-K44&lt;0.01,0,K26-K44)</f>
        <v>0</v>
      </c>
    </row>
    <row r="46" spans="1:11" ht="15.75" thickBot="1" x14ac:dyDescent="0.3">
      <c r="D46" s="2371" t="s">
        <v>1110</v>
      </c>
      <c r="E46" s="2529">
        <f>IF(OR(Basisgegevens!$C233="Ja",E45/12&lt;0.01),0,ROUND(E45/12,0))</f>
        <v>0</v>
      </c>
      <c r="F46" s="2529">
        <f>IF(OR(Basisgegevens!$D233="Ja",F45/12&lt;0.01),0,ROUND(F45/12,0))</f>
        <v>0</v>
      </c>
      <c r="G46" s="2529">
        <f>IF(Basisgegevens!$E233="Nee",ROUND(G45/12,0),0)</f>
        <v>0</v>
      </c>
      <c r="I46" s="2529">
        <f>IF(OR(Basisgegevens!$C233="Ja",I45/12&lt;0.01),0,ROUND(I45/12,0))</f>
        <v>0</v>
      </c>
      <c r="J46" s="2529">
        <f>IF(OR(Basisgegevens!$D233="Ja",J45/12&lt;0.01),0,ROUND(J45/12,0))</f>
        <v>0</v>
      </c>
      <c r="K46" s="2529">
        <f>IF(Basisgegevens!$E233="Nee",ROUND(K45/12,0),0)</f>
        <v>0</v>
      </c>
    </row>
    <row r="47" spans="1:11" ht="15.75" thickBot="1" x14ac:dyDescent="0.3">
      <c r="E47" s="2548" t="str">
        <f>IF(Basisgegevens!$C233="Ja","Teveel vermogen","--")</f>
        <v>--</v>
      </c>
      <c r="F47" s="2550" t="str">
        <f>IF(Basisgegevens!$D233="Ja","Teveel vermogen","--")</f>
        <v>--</v>
      </c>
      <c r="G47" s="2549" t="str">
        <f>IF(Basisgegevens!$E233="Ja","Teveel vermogen","--")</f>
        <v>--</v>
      </c>
      <c r="I47" s="2548" t="str">
        <f>IF(Basisgegevens!$C233="Ja","Teveel vermogen","--")</f>
        <v>--</v>
      </c>
      <c r="J47" s="2550" t="str">
        <f>IF(Basisgegevens!$D233="Ja","Teveel vermogen","--")</f>
        <v>--</v>
      </c>
      <c r="K47" s="2549" t="str">
        <f>IF(Basisgegevens!$E233="Ja","Teveel vermogen","--")</f>
        <v>--</v>
      </c>
    </row>
  </sheetData>
  <sheetProtection algorithmName="SHA-512" hashValue="Jio9ot5gZTEfsD+RRurCuSEFIOUF4aqjF14dIkR9+0fuQSXQv3mMgYyhsLU6IhG0J00Bkk4eRu3kK0ZrSTagfw==" saltValue="wouPIkkwVsNmB5XaEQlzYw==" spinCount="100000" sheet="1" objects="1" scenarios="1"/>
  <mergeCells count="13">
    <mergeCell ref="B38:D38"/>
    <mergeCell ref="B39:D39"/>
    <mergeCell ref="B40:D40"/>
    <mergeCell ref="B28:D28"/>
    <mergeCell ref="B29:D29"/>
    <mergeCell ref="B30:D30"/>
    <mergeCell ref="B32:D32"/>
    <mergeCell ref="B31:D31"/>
    <mergeCell ref="P28:Q28"/>
    <mergeCell ref="P29:Q29"/>
    <mergeCell ref="P30:Q30"/>
    <mergeCell ref="B33:D33"/>
    <mergeCell ref="C5:D5"/>
  </mergeCells>
  <conditionalFormatting sqref="E7:G18">
    <cfRule type="containsText" dxfId="2" priority="1" operator="containsText" text="Zie 1e kind">
      <formula>NOT(ISERROR(SEARCH("Zie 1e kind",E7)))</formula>
    </cfRule>
  </conditionalFormatting>
  <conditionalFormatting sqref="E47:G47">
    <cfRule type="containsText" dxfId="1" priority="5" operator="containsText" text="Teveel vermogen">
      <formula>NOT(ISERROR(SEARCH("Teveel vermogen",E47)))</formula>
    </cfRule>
  </conditionalFormatting>
  <conditionalFormatting sqref="I47:K47">
    <cfRule type="containsText" dxfId="0" priority="2" operator="containsText" text="Teveel vermogen">
      <formula>NOT(ISERROR(SEARCH("Teveel vermogen",I47)))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206</vt:i4>
      </vt:variant>
    </vt:vector>
  </HeadingPairs>
  <TitlesOfParts>
    <vt:vector size="217" baseType="lpstr">
      <vt:lpstr>Handleiding</vt:lpstr>
      <vt:lpstr>Samenvatting</vt:lpstr>
      <vt:lpstr>Basisgegevens</vt:lpstr>
      <vt:lpstr>Alimentatie 2025-01</vt:lpstr>
      <vt:lpstr>Kinderalimentatie</vt:lpstr>
      <vt:lpstr>Behoefteberekening</vt:lpstr>
      <vt:lpstr>Inkomensvergelijking</vt:lpstr>
      <vt:lpstr>Woonlasten_afwijkend</vt:lpstr>
      <vt:lpstr>KGB-Berekening</vt:lpstr>
      <vt:lpstr>Wijzigingen</vt:lpstr>
      <vt:lpstr>Keuzelijsten</vt:lpstr>
      <vt:lpstr>Behoefteberekening!Afdrukbereik</vt:lpstr>
      <vt:lpstr>Inkomensvergelijking!Afdrukbereik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AL121NBI_KA_AG_Z_KGB</vt:lpstr>
      <vt:lpstr>AL121NBI_KA_AP</vt:lpstr>
      <vt:lpstr>AL121NBI_KA_AP_Z_KGB</vt:lpstr>
      <vt:lpstr>AL135_Draagkrachtloos_AG</vt:lpstr>
      <vt:lpstr>AL135_Draagkrachtloos_AP</vt:lpstr>
      <vt:lpstr>AL136_Draagkracht_AG_Z_KGB</vt:lpstr>
      <vt:lpstr>AL136_Draagkracht_AP_Z_KGB</vt:lpstr>
      <vt:lpstr>AL136_Draagkrachtruimte_AG</vt:lpstr>
      <vt:lpstr>AL136_Draagkrachtruimte_AP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AL81PeriodiekeUitk_AG</vt:lpstr>
      <vt:lpstr>AL81PeriodiekeUitk_AP</vt:lpstr>
      <vt:lpstr>AL81PeriodiekeUitk_KA_AG</vt:lpstr>
      <vt:lpstr>AL81PeriodiekeUitk_KA_AP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BG_Onderde12_AG</vt:lpstr>
      <vt:lpstr>BG_Onderde12_AP</vt:lpstr>
      <vt:lpstr>BG041eaArbeidsloon_AG</vt:lpstr>
      <vt:lpstr>BG041eaArbeidsloon_AP</vt:lpstr>
      <vt:lpstr>BG042AOWuitkering_AG</vt:lpstr>
      <vt:lpstr>BG042AOWuitkering_AP</vt:lpstr>
      <vt:lpstr>BG043SocVerzWet_AG</vt:lpstr>
      <vt:lpstr>BG043SocVerzWet_AP</vt:lpstr>
      <vt:lpstr>BG050BrutoPensioen_AG</vt:lpstr>
      <vt:lpstr>BG050BrutoPensioen_AP</vt:lpstr>
      <vt:lpstr>BG060BijtellingAuto_AG</vt:lpstr>
      <vt:lpstr>BG060BijtellingAuto_AP</vt:lpstr>
      <vt:lpstr>BG060Jaaropgave1_AG</vt:lpstr>
      <vt:lpstr>BG060Jaaropgave1_AP</vt:lpstr>
      <vt:lpstr>BG060Jaaropgave2_AG</vt:lpstr>
      <vt:lpstr>BG060Jaaropgave2_AP</vt:lpstr>
      <vt:lpstr>BG082EWFAfbouwtarief</vt:lpstr>
      <vt:lpstr>BG083HypotheekrenteW2_AG</vt:lpstr>
      <vt:lpstr>BG083HypRente_W1_AG</vt:lpstr>
      <vt:lpstr>BG083HypRenteWoning1</vt:lpstr>
      <vt:lpstr>BG083HypRenteWoning2</vt:lpstr>
      <vt:lpstr>BG119aBijstand_AG</vt:lpstr>
      <vt:lpstr>BG119aBijstand_AP</vt:lpstr>
      <vt:lpstr>BG119aKGBNaScheidingAG</vt:lpstr>
      <vt:lpstr>BG119aKGBNaScheidingAP</vt:lpstr>
      <vt:lpstr>BG121NBI_AG</vt:lpstr>
      <vt:lpstr>BG121NBI_AP</vt:lpstr>
      <vt:lpstr>BG121NBI_KA_AG</vt:lpstr>
      <vt:lpstr>BG121NBI_KA_AP</vt:lpstr>
      <vt:lpstr>BG122_DraagkrachtKA_AG</vt:lpstr>
      <vt:lpstr>BG122_DraagkrachtKA_AG_Z_KGB</vt:lpstr>
      <vt:lpstr>BG122_DraagkrachtKA_AP</vt:lpstr>
      <vt:lpstr>BG122_DraagkrachtKA_AP_Z_KGB</vt:lpstr>
      <vt:lpstr>BG123VastWoonbudget_AG</vt:lpstr>
      <vt:lpstr>BG123VastWoonbudget_AG_Z_KGB</vt:lpstr>
      <vt:lpstr>BG123VastWoonbudget_AP</vt:lpstr>
      <vt:lpstr>BG123VastWoonbudget_AP_Z_KGB</vt:lpstr>
      <vt:lpstr>BG123WoonbudgetPercentage</vt:lpstr>
      <vt:lpstr>BGAOWLeeftijdBereikt_AG</vt:lpstr>
      <vt:lpstr>BGAOWLeeftijdBereikt_AP</vt:lpstr>
      <vt:lpstr>BGBelastingbedragSchijf3</vt:lpstr>
      <vt:lpstr>BGBelastingTariefBeperking</vt:lpstr>
      <vt:lpstr>BGBelastingTariefSchijf1</vt:lpstr>
      <vt:lpstr>BGBelastingTariefSchijf2</vt:lpstr>
      <vt:lpstr>BGBelastingTariefSchijf3</vt:lpstr>
      <vt:lpstr>BGDrempelRendement</vt:lpstr>
      <vt:lpstr>BGHeffingsvrijVermogen</vt:lpstr>
      <vt:lpstr>BGJaarBerekening</vt:lpstr>
      <vt:lpstr>BGKGBbij119a</vt:lpstr>
      <vt:lpstr>BGKGBvoorScheiding</vt:lpstr>
      <vt:lpstr>BGKind21Wel</vt:lpstr>
      <vt:lpstr>BGMKBWinstVrijstelling</vt:lpstr>
      <vt:lpstr>BGNBIMaxiamaliseren</vt:lpstr>
      <vt:lpstr>BGNieuwePartner_AP</vt:lpstr>
      <vt:lpstr>BGNieuwePartner_Percentage_AP</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BGOppaskostenvoorScheiding</vt:lpstr>
      <vt:lpstr>BGPartner_AG</vt:lpstr>
      <vt:lpstr>BGPartner_AP</vt:lpstr>
      <vt:lpstr>BGTariefBox2</vt:lpstr>
      <vt:lpstr>BGTariefBox3</vt:lpstr>
      <vt:lpstr>BGZVWJaarInkomen</vt:lpstr>
      <vt:lpstr>BGZVWPremie</vt:lpstr>
      <vt:lpstr>IV_94_Verz_Ink_AP</vt:lpstr>
      <vt:lpstr>KADraagkracht_AG</vt:lpstr>
      <vt:lpstr>KADraagkracht_AG_Z_KGB</vt:lpstr>
      <vt:lpstr>KADraagkracht_AP</vt:lpstr>
      <vt:lpstr>KADraagkracht_AP_Z_KGB</vt:lpstr>
      <vt:lpstr>KADraagkracht_Tot</vt:lpstr>
      <vt:lpstr>KADraagkracht_Tot_Z_KGB</vt:lpstr>
      <vt:lpstr>KADraagkrachtTekort</vt:lpstr>
      <vt:lpstr>KADraagkrachtTekort_Z_KGB</vt:lpstr>
      <vt:lpstr>KAEigenAandeel</vt:lpstr>
      <vt:lpstr>KAEigenAandeelAG</vt:lpstr>
      <vt:lpstr>KAEigenAandeelAP</vt:lpstr>
      <vt:lpstr>KAKindRekenAantal</vt:lpstr>
      <vt:lpstr>KAKindTotaalAantal</vt:lpstr>
      <vt:lpstr>KAKortingDraagkracht</vt:lpstr>
      <vt:lpstr>KAKortingDraagkracht_Z_ZKG</vt:lpstr>
      <vt:lpstr>KANBIBerekend</vt:lpstr>
      <vt:lpstr>KANBIBovengrens</vt:lpstr>
      <vt:lpstr>KANBIOndergrens</vt:lpstr>
      <vt:lpstr>KGB_BijScheiding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Snijder, A.J.</cp:lastModifiedBy>
  <cp:lastPrinted>2019-04-13T17:39:54Z</cp:lastPrinted>
  <dcterms:created xsi:type="dcterms:W3CDTF">2015-06-09T18:15:20Z</dcterms:created>
  <dcterms:modified xsi:type="dcterms:W3CDTF">2025-04-04T19:10:10Z</dcterms:modified>
</cp:coreProperties>
</file>